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alculator" state="visible" r:id="rId5"/>
    <sheet sheetId="3" name="Formulas and Definitions" state="visible" r:id="rId6"/>
    <sheet sheetId="4" name="Azure Cost (Option C)" state="visible" r:id="rId7"/>
    <sheet sheetId="5" name="CVO Cost (Option B)" state="visible" r:id="rId8"/>
  </sheets>
  <calcPr calcId="171027" fullCalcOnLoad="1"/>
</workbook>
</file>

<file path=xl/sharedStrings.xml><?xml version="1.0" encoding="utf-8"?>
<sst xmlns="http://schemas.openxmlformats.org/spreadsheetml/2006/main" count="469" uniqueCount="422">
  <si>
    <t>Immutable Storage Sizing Calculator</t>
  </si>
  <si>
    <t>WORM capacity modelling for CommVault + NetApp immutable-backup designs (SnapLock / SnapVault, BlueXP DataLock, CommVault to Azure Blob).</t>
  </si>
  <si>
    <t>All prices in this workbook are indicative examples only and must be verified against current vendor pricing.</t>
  </si>
  <si>
    <t>This is a generic WORM (write once read many) sizing calculator. It is free to use, copy and adapt, names no organisation, and is provided as-is with no warranty. All figures shown are worked examples.</t>
  </si>
  <si>
    <t>All sizes use decimal units: 1 TB = 1000 GB = 1,000,000 MB. This workbook does not use binary GiB or TiB (1024-based).</t>
  </si>
  <si>
    <t>Open the interactive web calculator (index.html) - the same model in your browser, with live charts and sliders.</t>
  </si>
  <si>
    <t>How the calculator works</t>
  </si>
  <si>
    <t>What this is</t>
  </si>
  <si>
    <t>This workbook estimates how much storage capacity you need to buy to keep immutable (WORM, write once read many) backups. Immutable backups cannot be changed or deleted until a set period has passed, which is what protects them from ransomware and from accidental or malicious deletion. Because immutable data cannot be removed early, it needs more space than everyday backups, and this tool works out how much. A typical design is one where CommVault protects virtual machines and SQL databases (whose backups land on a NetApp all-flash array) while NetApp filers hold production file shares, and the goal is to make both immutable and to size the extra capacity correctly.</t>
  </si>
  <si>
    <t>How to use</t>
  </si>
  <si>
    <t xml:space="preserve">   1.  Go to the 'Calculator' sheet. In the global settings block (cells B3 to B10) choose the Sizing mode (A / B / C) and set the overhead percentages. The amber cells are editable inputs; the blue cells are live formulas that Excel calculates for you.</t>
  </si>
  <si>
    <t xml:space="preserve">   2.  In the per-workload table (rows 15 to 34) enter one row per distinct dataset (for example a CommVault backup target, or a group of PROD filers). Fill in the amber input columns (A, B, C, E, F, G, H, I, J). The blue output columns (D, and K to R) update automatically. Column Q is the Mode B (BlueXP DataLock) API cost per year (only in Mode B). Column R is the general Estimated storage cost for all modes (Mode A one-off; Modes B and C per year), from the Storage price (per TB) in the global settings.</t>
  </si>
  <si>
    <t xml:space="preserve">   3.  Read the 'Capacity to purchase' column (P) for each workload and the GRAND TOTAL on row 35. That is the number to budget for. Column Q shows the estimated Mode B (BlueXP DataLock) API cost per year, populated only when Sizing mode = B. Column R shows the general Estimated storage cost using the Storage price (per TB): Mode A is a one-off, and Modes B and C are per year. Both cost columns are rough estimates.</t>
  </si>
  <si>
    <t xml:space="preserve">   4.  The first row is pre-filled with a generic example workload. Replace it with your own real numbers before relying on the result. The 'Formulas and Definitions' sheet explains every input and every formula, including the exact NetApp / CommVault commands to obtain each number.</t>
  </si>
  <si>
    <t>1. What this tool is for</t>
  </si>
  <si>
    <t>This calculator estimates how much storage capacity you need to buy to keep immutable (WORM, write once read many) backups. Immutable backups cannot be changed or deleted until a set period has passed, which is what protects them from ransomware and from accidental or malicious deletion. Because immutable data cannot be removed early, it needs more space than everyday backups, and this tool works out how much. A typical design is one where CommVault protects virtual machines and SQL databases (whose backups land on a NetApp all-flash array) while NetApp filers hold production file shares, and the goal is to make both immutable and to size the extra capacity correctly. Everything runs locally and no data leaves your machine.</t>
  </si>
  <si>
    <t>2. The three ways of storing immutable copies (Sizing mode)</t>
  </si>
  <si>
    <t>Choose one in cell B3 of the Calculator sheet:</t>
  </si>
  <si>
    <t xml:space="preserve">   -  On-prem NetApp SnapLock (the recommended default, Mode A). NetApp snapshots are taken of the backup storage and the file shares, sent with SnapVault to a dedicated SVM / NetApp system, and locked with SnapLock so they cannot be deleted early. Sizing is based on disk.</t>
  </si>
  <si>
    <t xml:space="preserve">   -  Cloud: NetApp CVO / BlueXP DataLock (Mode B). NetApp snapshots are sent to cloud object storage and locked there. This adds an optional cloud cost estimate.</t>
  </si>
  <si>
    <t xml:space="preserve">   -  Cloud: CommVault to Azure Blob (Storage Lock) (Mode C). CommVault writes its already deduplicated and compressed backups straight into an Azure Blob container that is locked with version level immutability. This adds an optional Azure Blob cost estimate.</t>
  </si>
  <si>
    <t>3. Workload profiles</t>
  </si>
  <si>
    <t>A workload profile is one set of data to protect, for example a backup target, or a group of production file shares. Add as many rows as you need. The tool sizes each profile on its own and then adds them together into a grand total. Start with the example profile provided and change the numbers to match your environment. The seeded value of 500 TB with a 3% daily change rate is an illustrative example only and must be replaced with your own figures.</t>
  </si>
  <si>
    <t>4. Filling in each field</t>
  </si>
  <si>
    <t>For every workload profile you provide:</t>
  </si>
  <si>
    <t xml:space="preserve">   -  Data size to protect: how much data this workload holds before immutable copies are added. If the figure is already deduplicated and compressed (for example a CommVault Data Written number), set the two ratios below to 1.</t>
  </si>
  <si>
    <t xml:space="preserve">   -  Deduplication ratio: how many times duplicate blocks are removed. A value of 3 means 3 to 1.</t>
  </si>
  <si>
    <t xml:space="preserve">   -  Compression ratio: extra shrink from compression. A value of 1.5 means 1.5 to 1.</t>
  </si>
  <si>
    <t xml:space="preserve">   -  Daily data change rate: how much of the data changes each day. This is the single biggest driver of cost, because every day of change is locked for the whole period.</t>
  </si>
  <si>
    <t xml:space="preserve">   -  Immutability (lock) period: how many days the copies stay locked and cannot be deleted. Set this to at least your backup retention so that nothing is left exposed.</t>
  </si>
  <si>
    <t xml:space="preserve">   -  Backup / snapshot frequency: how often a copy is taken. More frequent copies give finer recovery points but do not multiply the space needed.</t>
  </si>
  <si>
    <t xml:space="preserve">   -  Annual data growth: how fast the data is expected to grow each year.</t>
  </si>
  <si>
    <t>Each field is described on the 'Formulas and Definitions' sheet, including the exact NetApp or CommVault command you can run to get the real number.</t>
  </si>
  <si>
    <t>5. Global settings and overheads</t>
  </si>
  <si>
    <t>These apply to the whole calculation. The overhead settings (snapshot and filesystem reserve, safety headroom, target maximum fill level, and disaster recovery copies) are the reason the final figure is larger than your raw data. Section 7 below explains each one in plain words with a simple example.</t>
  </si>
  <si>
    <t>6. Reading the results</t>
  </si>
  <si>
    <t>The Calculator sheet shows, per workload row and as a grand total:</t>
  </si>
  <si>
    <t xml:space="preserve">   -  Stored data after deduplication and compression (column K).</t>
  </si>
  <si>
    <t xml:space="preserve">   -  The locked daily changes kept for the whole lock period (column N).</t>
  </si>
  <si>
    <t xml:space="preserve">   -  The projected size at the end of the horizon (column M).</t>
  </si>
  <si>
    <t xml:space="preserve">   -  The Capacity to purchase (column P), which is the number to budget for, including reserve, headroom, fill and DR.</t>
  </si>
  <si>
    <t xml:space="preserve">   -  For Mode B, an optional rough BlueXP DataLock API cost estimate per year (column Q). Column R is a general Estimated storage cost from the Storage price (per TB): Mode A is a one-off capex, and Modes B and C are per year (divide by 12 for monthly).</t>
  </si>
  <si>
    <t>7. Why is the total bigger than my data?</t>
  </si>
  <si>
    <t>The 'Capacity to purchase' is larger than your raw data on purpose. Each item below adds a slice, and because they multiply together, a few modest percentages add up to a much bigger final figure. None of it is wasted, it is what immutable (unchangeable) backups actually require.</t>
  </si>
  <si>
    <t xml:space="preserve">   -  Locked daily changes (usually the biggest part). Immutable backups cannot be deleted early. So every day's new/changed data must be kept for the entire lock period. Keeping, for example, 32 days of daily changes on top of today's data roughly doubles the space. These are the very copies that ransomware protection and compliance require you to keep.</t>
  </si>
  <si>
    <t xml:space="preserve">   -  Snapshot &amp; filesystem reserve (about 10%). The storage system needs a slice of every volume for its own housekeeping, snapshot pointers and the way NetApp writes data. Like a removal van that needs some empty space to actually pack the boxes, a disk cannot be filled to the brim and still work. Mode A only.</t>
  </si>
  <si>
    <t xml:space="preserve">   -  Safety headroom (about 20%). A planning buffer for surprises: a busy month, a large one-off data load, or the estimates being slightly low. It applies only to PROVISIONED storage that you buy up front (Mode A, and the managed-disk share of Mode B), where you cannot delete anything to make room. It does NOT apply to elastic object storage (Mode C, and the Blob-tiered share of Mode B), which is billed only for what you actually store.</t>
  </si>
  <si>
    <t xml:space="preserve">   -  Target maximum fill level (80%). Provisioned storage should never run completely full, performance drops sharply and, with WORM, nothing can be deleted to recover. So provisioned disk is sized so that your real data only ever fills 80% of what you buy, leaving 20% permanently free. Dividing by 0.8 is what turns 'data' into 'capacity to purchase' - but only for provisioned storage (Mode A and the managed-disk share of Mode B). Elastic object storage (Mode C, and the Blob-tiered share of Mode B) has no fill target because you pay per byte stored, not per byte provisioned.</t>
  </si>
  <si>
    <t xml:space="preserve">   -  Disaster-recovery copies (number of sites). If you keep a second immutable copy at another location, so a fire or ransomware cannot destroy both, you need that capacity twice. Two sites = x2; one site = x1.</t>
  </si>
  <si>
    <t>A simple example</t>
  </si>
  <si>
    <t>Say you must protect 100 TB, with a 32-day lock and about 3% of data changing per day:</t>
  </si>
  <si>
    <t xml:space="preserve">   -  Locked daily changes add roughly another 100 TB -&gt; 200 TB</t>
  </si>
  <si>
    <t xml:space="preserve">   -  + about 10% system reserve -&gt; 220 TB</t>
  </si>
  <si>
    <t xml:space="preserve">   -  + about 20% safety headroom -&gt; 264 TB</t>
  </si>
  <si>
    <t xml:space="preserve">   -  divided by 80% target fill -&gt; 330 TB</t>
  </si>
  <si>
    <t xml:space="preserve">   -  x2 for a second (DR) site -&gt; 660 TB</t>
  </si>
  <si>
    <t>So 100 TB of protected data needs about 330 TB at one site, or about 660 TB across two, mainly because immutable rules force you to keep every day's changes and never delete early.</t>
  </si>
  <si>
    <t>8. Deduplication Databases (DDBs), Compliance Lock and sealing</t>
  </si>
  <si>
    <t>CommVault deduplication uses a Deduplication Database (DDB) that indexes the unique blocks stored in a backup storage pool. Whether the DDB needs special handling depends on HOW the backups are made immutable, not on where the DDB is stored. Here is a clear breakdown.</t>
  </si>
  <si>
    <t>What Compliance Lock does to the DDB. Compliance Lock is a software-only control. It stops anyone in the CommVault console from deleting backups or lowering retention. On its own it does not change how deduplication or pruning works, and it does not require you to seal the DDB. Enabling Compliance Lock on your plans is safe for the DDB; it simply protects the retention settings.</t>
  </si>
  <si>
    <t>Does the DDB location matter? No. The DDB should sit on fast local disk on the Media Agents; that is best practice and is not made immutable. The location of the DDB does not decide whether you need to seal it. What decides it is whether the deduplicated backup DATA is made immutable in a way that CommVault itself manages.</t>
  </si>
  <si>
    <t>When is DDB sealing NOT required (the storage-side WORM design). If the backups are made immutable OUTSIDE CommVault, for example by NetApp SnapLock snapshots of the backup volumes with only Compliance Lock enabled in CommVault, then CommVault is not aware the storage is immutable. It keeps deduplicating and pruning normally on the live volume, and the DDB keeps running as usual on the local Media Agents. The immutability, and its extra capacity, live entirely in the NetApp snapshot layer. In this design you do NOT need to seal the DDB. The immutable lock window is simply the SnapLock retention you set (aligned to the CommVault Days retention), for example 32, 183 or 2555 days, with no plus-seal addition. The SnapLock snapshot of the data volume does not include the DDB; if ever needed, CommVault can rebuild the DDB from the library data during recovery.</t>
  </si>
  <si>
    <t>When is DDB sealing REQUIRED. If you instead enable CommVault's own WORM Storage Lock on a deduplicated storage pool (CommVault manages the immutability, for example object lock on cloud object storage, or a disk library that CommVault locks), then CommVault cannot prune individual shared blocks early. To reclaim space at all, it periodically SEALS the DDB: it closes the current deduplication store and starts a new one, and only prunes a whole sealed store once its lock has fully passed (this is called macro pruning). In this case sealing is required, and CommVault configures it automatically.</t>
  </si>
  <si>
    <t xml:space="preserve">   -  If retention is 7 days or less, the DDB seals every 7 days.</t>
  </si>
  <si>
    <t xml:space="preserve">   -  If retention is 8 to 365 days, the DDB seals every (retention) days.</t>
  </si>
  <si>
    <t xml:space="preserve">   -  If retention is 365 days or more, the DDB seals every 365 days (the maximum).</t>
  </si>
  <si>
    <t>The real storage lock time is then WORM lock = retention + seal frequency (for example 32 + 32 = 64 days). Two effects then make this storage about 2 to 3 times larger: data is locked for the retention plus the seal frequency, and each new sealed store cannot deduplicate against the old sealed store.</t>
  </si>
  <si>
    <t>Quick guide.</t>
  </si>
  <si>
    <t xml:space="preserve">   -  Immutability from NetApp SnapLock (or any storage-side WORM outside CommVault) plus Compliance Lock only: no DDB sealing needed; lock window equals your SnapLock retention.</t>
  </si>
  <si>
    <t xml:space="preserve">   -  Immutability from CommVault WORM Storage Lock on a deduplicated pool: DDB sealing is required and automatic; lock window equals retention plus seal frequency; expect about 2 to 3 times more storage.</t>
  </si>
  <si>
    <t xml:space="preserve">   -  Non-deduplicated storage with CommVault WORM: no DDB is involved; files are simply locked for the retention days.</t>
  </si>
  <si>
    <t>Recommended steps for a storage-side WORM design.</t>
  </si>
  <si>
    <t xml:space="preserve">   1.  Keep CommVault deduplication as it is and keep the DDB on local Media Agent disk. Do not make the DDB immutable.</t>
  </si>
  <si>
    <t xml:space="preserve">   2.  Enable Compliance Lock on the storage pool and plans to protect retention. This does not require sealing.</t>
  </si>
  <si>
    <t xml:space="preserve">   3.  Get immutability from NetApp SnapLock snapshots of the backup volumes. Set the SnapLock lock period to at least the CommVault Days retention (for example 32, 183 or 2555 days).</t>
  </si>
  <si>
    <t xml:space="preserve">   4.  Sealing the DDB is NOT needed in this design. Only enable DDB sealing if you switch to CommVault WORM Storage Lock, in which case it is set automatically and the sizing must be redone for retention plus seal frequency.</t>
  </si>
  <si>
    <t xml:space="preserve">   5.  Protect the DDB with regular DDB backups, and keep DDB and index backups off the immutable (WORM) copy.</t>
  </si>
  <si>
    <t xml:space="preserve">   6.  Size capacity for the SnapLock retention window (this calculator does that). If you later move to CommVault WORM Storage Lock, re-size for retention plus seal and reduced deduplication.</t>
  </si>
  <si>
    <t>9. Getting your real numbers</t>
  </si>
  <si>
    <t>On NetApp use volume show-space, volume snapshot show, volume efficiency stat, volume snaplock show, and snapmirror show -fields last-transfer-size. In CommVault use Data Written compared with Application Size to work out the change rate, and the Storage Policy Copy retention (Days and Cycles) to choose the lock period.</t>
  </si>
  <si>
    <t>10. Important notes and assumptions</t>
  </si>
  <si>
    <t xml:space="preserve">   -  On NetApp SnapLock Compliance the default lock is 30 years if you do not set it first, so always set the lock period before the first transfer.</t>
  </si>
  <si>
    <t xml:space="preserve">   -  In CommVault, turning on Storage Lock is irreversible and retention cannot be lowered, and it also switches on Compliance Lock. Enabling Compliance Lock on its own is recommended to stop retention being reduced.</t>
  </si>
  <si>
    <t xml:space="preserve">   -  Set the lock period to at least the CommVault retention, otherwise some backups could be left unprotected.</t>
  </si>
  <si>
    <t xml:space="preserve">   -  Sizes use decimal units where 1 TB is 1000 GB. Treat all results as planning estimates that needs to be confirmed.</t>
  </si>
  <si>
    <t>Exact differences between the three modes</t>
  </si>
  <si>
    <t>Where the immutable copy lives: A = dedicated on-prem NetApp system; B = NetApp Cloud Volumes ONTAP with cloud object storage; C = an Azure Blob container written to directly by CommVault.</t>
  </si>
  <si>
    <t>How the data gets there: A = NetApp snapshot then SnapVault to a SnapLock volume; B = NetApp snapshots to object storage locked by BlueXP DataLock; C = CommVault writes deduplicated backups straight to Blob.</t>
  </si>
  <si>
    <t>How immutability is enforced: A = SnapLock (WORM) on the volume; B = object lock (Retention Until Date per object); C = Azure Blob version-level immutability (Storage Lock, which also enables Compliance Lock).</t>
  </si>
  <si>
    <t>Snapshot and filesystem reserve: Mode A only. Modes B and C do not use it.</t>
  </si>
  <si>
    <t>WORM storage optimisation (micro-pruning): Mode C only; reduces the locked daily changes. Modes A and B do not use it.</t>
  </si>
  <si>
    <t>Cost estimate: A none (buy hardware); B rough API cost (Put/Get on daily changes, Retention Until Date re-stamp on all objects about every 28 days, optional ransomware scan); C rough Azure Blob storage cost (capacity in GB times price per GB-month times 12).</t>
  </si>
  <si>
    <t>Everything else is identical across modes.</t>
  </si>
  <si>
    <t>Capacity to purchase - the corrected per-mode model (and WHY the factors differ)</t>
  </si>
  <si>
    <t>The core requirement is the same for every mode: R = projected baseline + retained change, where the projected baseline already includes the annual growth over the horizon, and retained change = lock days x daily physical change. What differs is the overhead applied ON TOP of R, and it differs because provisioned storage and elastic object storage are billed in fundamentally different ways.</t>
  </si>
  <si>
    <t xml:space="preserve">   -  Mode A (on-prem NetApp SnapLock, PROVISIONED disk): Capacity = R x (1 + reserve) x (1 + headroom) / fill x DR. You buy the disk up front, so you must add the NetApp snapshot/filesystem reserve, a safety headroom, and never fill past the target fill level - and you cannot delete anything early to recover space. All three factors apply.</t>
  </si>
  <si>
    <t xml:space="preserve">   -  Mode C (Azure Blob, ELASTIC and consumption-billed): Capacity = R x DR. NO reserve, NO headroom, NO fill. Blob is billed only for the bytes you actually store, so there is no capacity to reserve, no buffer to buy in advance, and no fill target to leave free. Adding those factors here would over-state the cost. Redundancy (LRS/ZRS/GRS) multiplies the STORAGE COST only, not the capacity.</t>
  </si>
  <si>
    <t xml:space="preserve">   -  Mode B (CVO hybrid) is SPLIT by billing basis: the managed-disk share = (1 - tiering %) x R x (1 + headroom) / fill (provisioned, so it carries headroom and fill), the Blob-tiered share = (tiering %) x R (elastic, no headroom or fill), the NetApp licence is shown both as USED (= R) and PROVISIONED (= R x (1 + headroom) / fill), and the number of CVO systems = CEILING(provisioned entitlement / 2250) because CVO supports up to about 2250 decimal TB (2 PiB) per system. Zero capacity gives zero systems and zero cost. DR sites multiply afterwards.</t>
  </si>
  <si>
    <t>In short: provisioned storage needs headroom and fill because you buy it in advance and cannot over-fill or delete early; elastic object storage does not, because you pay per byte stored. That is the whole reason Mode A, Mode B and Mode C use different factors.</t>
  </si>
  <si>
    <t>Azure Blob tier minimum billing durations (Hot / Cool / Cold)</t>
  </si>
  <si>
    <t>Azure Blob capacity tiers have a MINIMUM billing duration: data placed in Cool is billed for at least 30 days, and data in Cold for at least 90 days, even if you keep it for a shorter lock period. Hot has no minimum. The billed storage cost therefore uses a tier-correct day count:</t>
  </si>
  <si>
    <t xml:space="preserve">   -  Hot billed days = lock days.</t>
  </si>
  <si>
    <t xml:space="preserve">   -  Cool billed days = MAX(lock days, 30).</t>
  </si>
  <si>
    <t xml:space="preserve">   -  Cold billed days = MAX(lock days, 90).</t>
  </si>
  <si>
    <t>A warning is shown when the lock period is below a tier's minimum, so you can compare tiers before deciding. Important: this does NOT mean Cool is not worth using below 30 days. Even at a 7-day lock, once the 30-day floor is applied, Cool is still about 15% cheaper than Hot (about $22.89 versus $26.99 per source TB-month), because Cool's storage rate is about 43% below Hot. The Azure Cost (Option C) sheet shows Hot, Cool and Cold side by side so you can compare on your own numbers.</t>
  </si>
  <si>
    <t>Corrected rates used in this workbook</t>
  </si>
  <si>
    <t>Standard SSD is $76.8341 and Premium SSD is $123.9408 per DECIMAL TB-month (corrected from the earlier 82.50 / 133.10, which were per binary GiB; 1 TB = 931.3226 GiB). Azure Blob UK South storage is Hot $18.40, Cool $10.50 and Cold $4.50 per TB-month. Redundancy multiplies the STORAGE cost only: LRS x1.0, ZRS x1.25, GRS x2.0. The NetApp CVO licence at $65/TB-month is INDICATIVE and must be replaced with a firm NetApp quote before any decision.</t>
  </si>
  <si>
    <t>WORM storage optimisation (micro-pruning)</t>
  </si>
  <si>
    <t>CommVault deduplication reclaims freed space in two ways. Micro-pruning is fine-grained reclamation inside the deduplication store: it truncates chunk files, drills holes to free individual unreferenced blocks, or deletes whole files. Macro-pruning is coarse: it can only delete whole objects or whole sealed deduplication stores, and only after the entire store's lock has expired. On immutable (WORM) storage you normally cannot modify locked objects, so CommVault falls back to macro-pruning only (it seals the deduplication database and holds the whole store until the lock expires), which is why WORM deduplication typically grows to about 2 to 3 times.</t>
  </si>
  <si>
    <t>WORM storage optimisation is a CommVault capability (the EnableOptimizedWORMStorageLock setting) that lets CommVault do job-level micro-pruning even on WORM object storage, reclaiming eligible data while still enforcing the object lock and retention. It recovers space that macro-pruning would otherwise force you to keep locked, so in this tool it reduces the locked daily changes by the percentage you set.</t>
  </si>
  <si>
    <t>Micro-pruning is a CommVault deduplication feature, so it only helps when CommVault owns both the deduplication and the WORM object storage. That is only true in Mode C, where CommVault writes deduplicated backups directly to Azure Blob and manages immutability with Storage Lock (version-level immutability). In Mode A (on-prem NetApp SnapLock) and Mode B (Cloud NetApp CVO / BlueXP DataLock) the immutability is provided by NetApp SnapLock, not CommVault: the locked capacity lives in NetApp WAFL snapshots that hold the changed blocks for the lock period regardless of anything CommVault does, so a CommVault deduplication feature has nothing to optimise there. NetApp snapshots are already block-incremental, which is NetApp's own efficiency and not this feature.</t>
  </si>
  <si>
    <t>The micro-pruning value (0 to 30%, an estimate) applies only in Mode C and reduces just the locked daily changes: Locked daily changes = lock days x daily change x (1 - micro-pruning percent). In production it requires the CommServe additional setting EnableOptimizedWORMStorageLock = 1, and the actual reclaim depends on your data's churn and deduplication pattern, so treat the percentage as a planning assumption to validate, not a guarantee.</t>
  </si>
  <si>
    <t>Azure cost model (Option C)</t>
  </si>
  <si>
    <t>For a fuller Azure Option C costing see the 'Azure Cost (Option C)' sheet in this workbook. It models Blob storage (Hot/Cool/Cold with LRS/ZRS/GRS redundancy), one-time seeding PUT cost, per-event restore GET plus retrieval cost, media-agent compute (VMs and Premium SSD v2 disks), and optional ExpressRoute Direct (ports plus gateway), with a Hot/Cool/Cold comparison table. The built-in prices are Azure UK South, USD ex-VAT, retail PAYG, and are indicative examples only - verify them against current Azure pricing before use. All sizes are decimal (1 TB = 1000 GB).</t>
  </si>
  <si>
    <t>For a NetApp Option B (Cloud Volumes ONTAP) costing see the 'CVO Cost (Option B)' sheet. It models the CVO licence per TB-month, HA VM nodes, managed disk and Blob tiering, Load Balancer, systems needed (2 PiB per system), and optional ExpressRoute (ports plus gateway) with gateway throughput and seed copy time. The built-in prices are Azure UK South plus indicative NetApp CVO licence, USD, indicative examples only - confirm the CVO licence with a NetApp quote. All sizes are decimal (1 TB = 1000 GB).</t>
  </si>
  <si>
    <t>Immutable Storage Sizing Calculator - Inputs and live-formula outputs</t>
  </si>
  <si>
    <t>Global settings (edit the amber cells)</t>
  </si>
  <si>
    <t>Sizing mode (A / B / C)</t>
  </si>
  <si>
    <t>A</t>
  </si>
  <si>
    <t>A = On-prem NetApp SnapLock; B = Cloud NetApp CVO/DataLock; C = Cloud CommVault to Azure Blob. See Instructions section 2.</t>
  </si>
  <si>
    <t>Mode B: RUD re-stamp events per year</t>
  </si>
  <si>
    <t>Snapshot &amp; filesystem reserve (%)</t>
  </si>
  <si>
    <t>Why: NetApp needs a slice of every volume for snapshot pointers and its write layout. Mode A only. See Instructions section 7.</t>
  </si>
  <si>
    <t>Mode B: ransomware scan (Yes/No)</t>
  </si>
  <si>
    <t>No</t>
  </si>
  <si>
    <t>Safety headroom (%)</t>
  </si>
  <si>
    <t>Why: planning buffer for surprises; with WORM you cannot delete to make room. Applied to all modes. See Instructions section 7.</t>
  </si>
  <si>
    <t>Mode B: scans per year</t>
  </si>
  <si>
    <t>Target maximum fill level (%)</t>
  </si>
  <si>
    <t>Why: storage should never run completely full. Data only ever fills this percentage. Dividing by this turns data into capacity. See Instructions section 7.</t>
  </si>
  <si>
    <t>Used only when Sizing mode = B. Rates (USD per 1000 requests): Put 0.005, Get 0.0004, List 0.005, Head 0.0004, PutObjectRetention 0.005. Objects assumed 4 MB. Rough estimate - verify against your provider price sheet.</t>
  </si>
  <si>
    <t>Disaster-recovery copies (sites)</t>
  </si>
  <si>
    <t>Why: a second immutable copy at another site needs the capacity twice. Two sites = 2, one site = 1. See Instructions section 7.</t>
  </si>
  <si>
    <t>Used when Storage price (per TB) = 0 in Mode C (built-in per-TB price: Hot 18.4, Cool 10.5, Cold 4.5 per year via the Azure Cost sheet).</t>
  </si>
  <si>
    <t>Projection horizon (days)</t>
  </si>
  <si>
    <t>Timeframe for projected data; applies annual data growth pro-rata. See Instructions section 5.</t>
  </si>
  <si>
    <t>Blob tier (Mode C): Hot/Cool/Cold</t>
  </si>
  <si>
    <t>Cool</t>
  </si>
  <si>
    <t>WORM micro-pruning (%) [Mode C only]</t>
  </si>
  <si>
    <t>Reclaimable job-level deduplication that reduces the locked daily changes only (0-30%). Mode C only. Estimate.</t>
  </si>
  <si>
    <t>Redundancy (Mode C): LRS/ZRS/GRS</t>
  </si>
  <si>
    <t>LRS</t>
  </si>
  <si>
    <t>Storage price (per TB)</t>
  </si>
  <si>
    <t>Leave 0 to use the built-in Azure UK South tier price in Mode C (see the 'Azure Cost (Option C)' sheet). For Modes A and B, 0 leaves the cost blank; enter a value to override.</t>
  </si>
  <si>
    <t>Example values only. The single profile below is a generic worked example: 500 TB of already-deduplicated data (so the deduplication and compression ratios are set to 1) with an illustrative daily change rate of 3% per day and a 32-day lock. The lock period should be set to the SnapLock retention (aligned to the CommVault Days retention), for example 32, 183 or 2555 days, when immutability comes from NetApp SnapLock snapshots plus Compliance Lock; DDB sealing and the retention-plus-seal rule apply only if you use CommVault WORM Storage Lock instead (see the Deduplication Databases section in How calculator works). Use additional rows (16 to 34) to add more datasets (for example a group of production filers, or long-term monthly / 7-year copies) and get their real sizes from CommVault or from the NetApp filers using volume show-space. All prices in this workbook are indicative examples only and must be verified against current vendor pricing. Please replace these values with your own numbers before relying on the result.</t>
  </si>
  <si>
    <t>Workload name</t>
  </si>
  <si>
    <t>Data size (value)</t>
  </si>
  <si>
    <t>Unit</t>
  </si>
  <si>
    <t>Data size (TB)</t>
  </si>
  <si>
    <t>Deduplication ratio</t>
  </si>
  <si>
    <t>Compression ratio</t>
  </si>
  <si>
    <t>Daily data change rate (%)</t>
  </si>
  <si>
    <t>Immutability (lock) period (days)</t>
  </si>
  <si>
    <t>Annual data growth (%)</t>
  </si>
  <si>
    <t>Backup / snapshot frequency</t>
  </si>
  <si>
    <t>Stored data after deduplication and compression (TB)</t>
  </si>
  <si>
    <t>Daily physical change (TB/day)</t>
  </si>
  <si>
    <t>Projected stored data at horizon (TB)</t>
  </si>
  <si>
    <t>Locked daily changes (TB)</t>
  </si>
  <si>
    <t>Subtotal before overhead (TB)</t>
  </si>
  <si>
    <t>Capacity to purchase (TB)</t>
  </si>
  <si>
    <t>Estimated Mode B cloud API cost per year (USD)</t>
  </si>
  <si>
    <t>Estimated storage cost (Mode A = one-off; Modes B and C = per year)</t>
  </si>
  <si>
    <t>Example workload</t>
  </si>
  <si>
    <t>TB</t>
  </si>
  <si>
    <t>Daily</t>
  </si>
  <si>
    <t>GRAND TOTAL</t>
  </si>
  <si>
    <t>Colour key:</t>
  </si>
  <si>
    <t>Amber = editable input</t>
  </si>
  <si>
    <t>Blue = live formula (do not edit)</t>
  </si>
  <si>
    <t>Storage cost (column R) uses the Storage price (per TB): Mode A is a one-off capex; Modes B and C are per year (divide by 12 for monthly). Column Q (Mode B API cost) is separate and additional. All sizes are decimal (1 TB = 1000 GB).</t>
  </si>
  <si>
    <t>Live warnings</t>
  </si>
  <si>
    <t>100% daily change</t>
  </si>
  <si>
    <t>GRS and DR copies</t>
  </si>
  <si>
    <t>Blank/invalid retention</t>
  </si>
  <si>
    <t>Inputs - what each field means and how to obtain it</t>
  </si>
  <si>
    <t>Input</t>
  </si>
  <si>
    <t>Plain-words meaning</t>
  </si>
  <si>
    <t>How to obtain it (NetApp / CommVault)</t>
  </si>
  <si>
    <t>Data size (value) + Unit (col B, C)</t>
  </si>
  <si>
    <t>How much data this workload holds before immutable copies are added. Unit is GB, TB or PB. If the figure is already deduplicated and compressed (for example a CommVault Data Written number), set the two ratios below to 1. Column D converts the value to TB (1 TB = 1000 GB).</t>
  </si>
  <si>
    <t>NetApp: volume show-space -volume &lt;vol&gt;; volume show -volume &lt;vol&gt; -fields size,used,physical-used,available. CommVault: front-end / Application Size or Data Written from the Job Summary.</t>
  </si>
  <si>
    <t>Deduplication ratio (col E)</t>
  </si>
  <si>
    <t>How many times NetApp/CommVault shrinks the data by removing duplicate blocks. E.g. 3 means 3:1 (3 TB of data stored in 1 TB). Enter 1 if the size you typed is already deduplicated.</t>
  </si>
  <si>
    <t>NetApp: volume efficiency stat -volume &lt;vol&gt;; volume show -fields dedupe-space-saved; storage aggregate show-efficiency. CommVault: Data Written vs Application Size.</t>
  </si>
  <si>
    <t>Compression ratio (col F)</t>
  </si>
  <si>
    <t>Extra shrink from compression on top of deduplication. E.g. 1.5 means 1.5:1. Enter 1 if already included or not used.</t>
  </si>
  <si>
    <t>NetApp: volume show -fields compression-space-saved; volume efficiency stat -volume &lt;vol&gt;. CommVault: dedup+compression reflected in Data Written.</t>
  </si>
  <si>
    <t>Daily data change rate (%) (col G)</t>
  </si>
  <si>
    <t>The logical amount of new/changed data each day, as a percentage of the data size. This is the single biggest driver of cost, because every day of change is locked for the whole lock period.</t>
  </si>
  <si>
    <t>NetApp: snapshot space via volume snapshot show -volume &lt;vol&gt;; SnapVault transfer via snapmirror show -fields last-transfer-size. CommVault: daily Data Written / Application Size.</t>
  </si>
  <si>
    <t>Immutability (lock) period (days) (col H)</t>
  </si>
  <si>
    <t>The window during which backups cannot be deleted or changed. Set this to at least your CommVault effective retention Days so nothing is left exposed.</t>
  </si>
  <si>
    <t>NetApp: volume snaplock show -vserver &lt;svm&gt; -volume &lt;vol&gt;. CommVault: Storage Policy Copy &gt; Retention (Days AND Cycles - the longer wins).</t>
  </si>
  <si>
    <t>Annual data growth (%) (col I)</t>
  </si>
  <si>
    <t>Organic yearly growth of the data set. Applied over the projection horizon (column M).</t>
  </si>
  <si>
    <t>Trend from historical NetApp/CommVault capacity reports, or a business estimate.</t>
  </si>
  <si>
    <t>Backup / snapshot frequency (col J)</t>
  </si>
  <si>
    <t>How often a copy is taken (Daily / Twice per day / 4 times per day / Hourly). Block-incremental: more frequent copies give finer recovery granularity but do NOT multiply the space needed. Informational only - it does not change the numbers.</t>
  </si>
  <si>
    <t>CommVault: Schedule Policy. NetApp: snapshot policy show.</t>
  </si>
  <si>
    <t>Global overhead (Calculator B3:B10)</t>
  </si>
  <si>
    <t>Typical value / notes</t>
  </si>
  <si>
    <t>Sizing mode (B3)</t>
  </si>
  <si>
    <t>A = On-prem NetApp SnapLock; B = Cloud NetApp CVO/DataLock; C = Cloud CommVault to Azure Blob. Mode A adds the snapshot &amp; filesystem reserve; Mode C enables micro-pruning and the Blob cost.</t>
  </si>
  <si>
    <t>Default A.</t>
  </si>
  <si>
    <t>Snapshot &amp; filesystem reserve % (B4)</t>
  </si>
  <si>
    <t>NetApp needs a slice of every volume for snapshot pointers and its write layout; a disk cannot be filled to the brim and still work. Applied in Mode A only.</t>
  </si>
  <si>
    <t>About 10%. Check volume show-space -volume &lt;vol&gt;.</t>
  </si>
  <si>
    <t>Safety headroom % (B5)</t>
  </si>
  <si>
    <t>Planning buffer for surprises (a busy month, a one-off load, or estimates being low). With WORM you cannot delete to make room. Applies to PROVISIONED storage only: Mode A in full, and the managed-disk share of Mode B. NOT applied to elastic object storage (Mode C, or the Blob-tiered share of Mode B).</t>
  </si>
  <si>
    <t>About 20%.</t>
  </si>
  <si>
    <t>Target maximum fill level % (B6)</t>
  </si>
  <si>
    <t>Provisioned storage should never run completely full. Sizing so your data only ever fills this percentage leaves the rest permanently free. Dividing by this turns data into capacity - for PROVISIONED storage only (Mode A and the managed-disk share of Mode B). Not applied to elastic object storage (Mode C, or the Blob-tiered share of Mode B). Must be greater than 0 and at most 100.</t>
  </si>
  <si>
    <t>80%.</t>
  </si>
  <si>
    <t>Disaster-recovery copies (B7)</t>
  </si>
  <si>
    <t>A second immutable copy at another site means a fire or ransomware cannot destroy both, but you need the capacity twice. Two sites = 2; one site = 1. On-prem: SnapMirror to a second SnapLock SVM. Cloud: geo / second copy.</t>
  </si>
  <si>
    <t>1 or 2.</t>
  </si>
  <si>
    <t>Projection horizon days (B8)</t>
  </si>
  <si>
    <t>Timeframe for projected data; applies annual data growth pro-rata.</t>
  </si>
  <si>
    <t>365.</t>
  </si>
  <si>
    <t>WORM micro-pruning % (B9)</t>
  </si>
  <si>
    <t>Job-level reclaimable deduplication on WORM Blob (CommVault EnableOptimizedWORMStorageLock). Reduces the locked daily changes only (0-30%). Mode C only. Estimate - see the 'WORM storage optimisation (micro-pruning)' section on the Instructions sheet for detail.</t>
  </si>
  <si>
    <t>0-30%, Mode C only.</t>
  </si>
  <si>
    <t>Storage price (per TB) (B10)</t>
  </si>
  <si>
    <t>Leave 0 to use the built-in Azure UK South Mode C tier price (Hot/Cool/Cold, chosen in E8; see the 'Azure Cost (Option C)' sheet). Enter a value to override: Mode A = one-off price per usable TB; Modes B and C = price per TB per month. In Modes A/B, 0 leaves the cost blank. Decimal TB (1 TB = 1000 GB); no binary GiB/TiB.</t>
  </si>
  <si>
    <t>Default 0 (use built-in).</t>
  </si>
  <si>
    <t>Mode B: RUD re-stamp events per year (E3)</t>
  </si>
  <si>
    <t>How many times per year every object is re-stamped with a new Retention Until Date (about every 28 days gives about 13 per year). Drives the List+Head+PutObjectRetention cost on all objects. Mode B only.</t>
  </si>
  <si>
    <t>About 13 (every 28 days).</t>
  </si>
  <si>
    <t>Mode B: ransomware scan Yes/No (E4)</t>
  </si>
  <si>
    <t>Whether a periodic scan that lists all object versions is included in the cost (a List request on every object). Off by default. Mode B only.</t>
  </si>
  <si>
    <t>Yes or No (default No).</t>
  </si>
  <si>
    <t>Mode B: scans per year (E5)</t>
  </si>
  <si>
    <t>How many ransomware scans per year to cost, used only when the scan is set to Yes. Weekly = 52. Mode B only.</t>
  </si>
  <si>
    <t>52 (weekly).</t>
  </si>
  <si>
    <t>Reminder</t>
  </si>
  <si>
    <t>The snapshot and filesystem reserve (B4) applies to Mode A only; WORM storage optimisation micro-pruning (B9) applies to Mode C only.</t>
  </si>
  <si>
    <t/>
  </si>
  <si>
    <t>Units (decimal)</t>
  </si>
  <si>
    <t>All sizes use decimal units: 1 TB = 1000 GB = 1,000,000 MB. This workbook does not use binary GiB or TiB (1024-based). Unit conversion: GB = 0.001 TB, PB = 1000 TB.</t>
  </si>
  <si>
    <t>Decimal (1000-based).</t>
  </si>
  <si>
    <t>Outputs - the exact live formula behind each column</t>
  </si>
  <si>
    <t>Output (column)</t>
  </si>
  <si>
    <t>Plain English</t>
  </si>
  <si>
    <t>Exact formula (row r)</t>
  </si>
  <si>
    <t>Data size (TB) (D)</t>
  </si>
  <si>
    <t>Converts the entered value and unit to TB (1 TB = 1000 GB; 1 PB = 1000 TB).</t>
  </si>
  <si>
    <t>=IF(Br="","",Br*IF(Cr="GB",0.001,IF(Cr="PB",1000,1)))</t>
  </si>
  <si>
    <t>Stored data after deduplication and compression (K)</t>
  </si>
  <si>
    <t>Data size (TB) divided by (Deduplication ratio x Compression ratio). Ratios of 0 are treated as 1 so blank rows do not error.</t>
  </si>
  <si>
    <t xml:space="preserve">=IF(Dr="","",Dr/(IF(Er&gt;0,Er,1)*IF(Fr&gt;0,Fr,1)))
Stored data (TB) = Data size (TB) / (Deduplication ratio x Compression ratio)</t>
  </si>
  <si>
    <t>Daily physical change (TB/day) (L)</t>
  </si>
  <si>
    <t>Stored data multiplied by the daily data change rate percentage.</t>
  </si>
  <si>
    <t xml:space="preserve">=IF(Dr="","",Kr*(Gr/100))
Daily physical change = Stored data x Daily data change rate %</t>
  </si>
  <si>
    <t>Projected stored data at horizon (TB) (M)</t>
  </si>
  <si>
    <t>Stored data grown by the annual data growth, pro-rated over the projection horizon.</t>
  </si>
  <si>
    <t xml:space="preserve">=IF(Dr="","",Kr*(1+Ir/100)^($B$8/365))
Projected stored data = Stored data x (1 + Annual growth %)^(Projection horizon / 365)</t>
  </si>
  <si>
    <t>Locked daily changes (TB) (N)</t>
  </si>
  <si>
    <t>Lock period (days) multiplied by the daily physical change; in Mode C reduced by the micro-pruning percentage (clamped to 0-30%). This is usually the biggest part of the total.</t>
  </si>
  <si>
    <t xml:space="preserve">=IF(Dr="","",Hr*Lr*IF($B$3="C",(1-MAX(0,MIN(30,$B$9))/100),1))
Locked daily changes = Lock period (days) x Daily physical change [x (1 - micro-pruning %) in Mode C, micro-pruning clamped to 0-30%]</t>
  </si>
  <si>
    <t>Subtotal before overhead (TB) (O)</t>
  </si>
  <si>
    <t>Projected stored data plus locked daily changes, before any per-mode overhead is applied. This is R = projected baseline + retained change.</t>
  </si>
  <si>
    <t xml:space="preserve">=IF(Dr="","",Mr+Nr)
Subtotal (R) = Projected stored data + Locked daily changes</t>
  </si>
  <si>
    <t>Capacity to purchase (TB) (P) - corrected per-mode model</t>
  </si>
  <si>
    <t>The overhead applied to R differs by mode because provisioned and elastic storage are billed differently. Mode A (on-prem provisioned): R x (1+reserve) x (1+headroom) / fill x DR. Mode C (Azure Blob, elastic): R x DR only - NO reserve, headroom or fill. Mode B (CVO hybrid): the managed-disk share (1-tier%) carries headroom/fill, the Blob-tiered share (tier%) does not; then x DR. Tier% is read from the CVO Cost (Option B) sheet cell B9.</t>
  </si>
  <si>
    <t xml:space="preserve">=IF(Dr="","",IF($B$3="A",Or*(1+$B$4/100)*(1+$B$5/100)/($B$6/100),IF($B$3="B",((1-'CVO Cost (Option B)'!$B$9/100)*Or*(1+$B$5/100)/($B$6/100)+('CVO Cost (Option B)'!$B$9/100)*Or),Or))*$B$7)
Mode A = R x (1+reserve) x (1+headroom)/fill x DR; Mode C = R x DR; Mode B = ((1-tier%) x R x (1+headroom)/fill + tier% x R) x DR.</t>
  </si>
  <si>
    <t>Estimated Mode B cloud API cost per year (USD) (Q)</t>
  </si>
  <si>
    <t>Only populated in Mode B. Daily Put+Get on changed objects x365, plus List+Head+PutObjectRetention on all objects x RUD events per year, plus optional List scan on all objects x scans per year. Objects = stored data / 4 MB (1 TB = 250000 objects). Rough estimate.</t>
  </si>
  <si>
    <t xml:space="preserve">=IF(OR(Dr="",$B$3&lt;&gt;"B"),"",((Lr*250000)/1000)*0.0054*365+((Kr*250000)/1000)*0.0104*$E$3+IF($E$4="Yes",((Kr*250000)/1000)*0.005*$E$5,0))
0.0054 = Put+Get (0.005+0.0004) per 1000; 0.0104 = List+Head+PutObjectRetention (0.005+0.0004+0.005) per 1000; scan = List 0.005 per 1000.</t>
  </si>
  <si>
    <t>Estimated storage cost (R) - all modes</t>
  </si>
  <si>
    <t>If Storage price (per TB) in B10 &gt; 0, it is used: Capacity (TB) x price (Mode A one-off; Modes B and C per year, price x12). In Mode C the redundancy multiplier (E9: LRS 1.0, ZRS 1.25, GRS 2.0) is applied to the storage cost only. If B10 = 0 and Sizing mode = C, the built-in Azure UK South per-TB tier price is used (Hot 18.4, Cool 10.5, Cold 4.5), per year, times the redundancy multiplier. If B10 = 0 in Modes A/B, the cell stays blank. Tier is chosen in cell E8, redundancy in E9. See the 'Azure Cost (Option C)' sheet. Rough estimate; decimal (1 TB = 1000 GB).</t>
  </si>
  <si>
    <t xml:space="preserve">=IF(Dr="","",IF($B$10&gt;0,IF($B$3="A",Pr*$B$10,Pr*$B$10*12*IF($B$3="C",IF($E$9="ZRS",1.25,IF($E$9="GRS",2,1)),1)),IF($B$3="C",Pr*IF($E$8="Hot",18.4,IF($E$8="Cold",4.5,10.5))*IF($E$9="ZRS",1.25,IF($E$9="GRS",2,1))*12,"")))
Mode C storage cost = Capacity (TB) x tier $/TB-mo x redundancy multiplier x 12.</t>
  </si>
  <si>
    <t>Blob tier minimum billing durations (Azure Cost sheet)</t>
  </si>
  <si>
    <t>Azure Blob tiers have a minimum billing duration: Hot none, Cool 30 days, Cold 90 days. The billed storage cost uses a tier-correct day count - Hot billed days = lock days; Cool billed days = MAX(lock, 30); Cold billed days = MAX(lock, 90). A warning is raised when the lock is below a tier minimum. This does NOT mean Cool is not worth using below 30 days: even at a 7-day lock, once the 30-day floor is applied, Cool is still about 15% cheaper than Hot (about $22.89 vs $26.99 per source TB-month).</t>
  </si>
  <si>
    <t>billedDays(Hot) = lock; billedDays(Cool) = MAX(lock, 30); billedDays(Cold) = MAX(lock, 90). See the Blob tier comparison on the Azure Cost (Option C) sheet.</t>
  </si>
  <si>
    <t>GRAND TOTAL (row 35)</t>
  </si>
  <si>
    <t>Sums each output column across all workload rows (15 to 34).</t>
  </si>
  <si>
    <t>=SUM(K15:K34), =SUM(M15:M34), =SUM(N15:N34), =SUM(O15:O34), =SUM(P15:P34), =SUM(Q15:Q34), =SUM(R15:R34)</t>
  </si>
  <si>
    <t>DDB seal rule summary and the storage-side WORM design</t>
  </si>
  <si>
    <t>Topic</t>
  </si>
  <si>
    <t>Rule / note</t>
  </si>
  <si>
    <t>DDB seal frequency (CommVault WORM Storage Lock only)</t>
  </si>
  <si>
    <t>Retention &lt;= 7 days -&gt; seals every 7 days. Retention 8 to 365 days -&gt; seals every (retention) days. Retention &gt;= 365 days -&gt; seals every 365 days (the maximum). The real WORM lock = retention + seal frequency (for example 32 + 32 = 64 days). This applies ONLY under CommVault WORM Storage Lock on a deduplicated pool, and makes storage about 2 to 3 times larger. It is configured automatically.</t>
  </si>
  <si>
    <t>Storage-side WORM design (NetApp SnapLock + Compliance Lock)</t>
  </si>
  <si>
    <t>In a NetApp SnapLock + Compliance Lock design the lock period = the SnapLock retention (for example 32, 183 or 2555 days) and NO sealing is needed, because immutability lives in the NetApp snapshot layer outside CommVault. Only switch to the retention-plus-seal sizing if you move to CommVault WORM Storage Lock. This calculator sizes for the SnapLock retention window.</t>
  </si>
  <si>
    <t>Azure Option C cost model - CommVault to Azure Blob (Storage Lock)</t>
  </si>
  <si>
    <t>All sizes decimal (1 TB = 1000 GB). Prices USD ex-VAT retail PAYG, UK South, VALID AUGUST 2026 ONLY.</t>
  </si>
  <si>
    <t>Inputs (edit the amber cells)</t>
  </si>
  <si>
    <t>Azure UK South retail PAYG, USD - VALID AUGUST 2026 ONLY - verify before use</t>
  </si>
  <si>
    <t>Capacity to store (TB)</t>
  </si>
  <si>
    <t>Blob tier</t>
  </si>
  <si>
    <t>Store $/GB-mo</t>
  </si>
  <si>
    <t>Write $/10k</t>
  </si>
  <si>
    <t>Read $/10k</t>
  </si>
  <si>
    <t>Retrieval $/GB</t>
  </si>
  <si>
    <t>Min days</t>
  </si>
  <si>
    <t>Blob tier (Hot/Cool/Cold)</t>
  </si>
  <si>
    <t>Hot</t>
  </si>
  <si>
    <t>Redundancy (LRS/ZRS/GRS)</t>
  </si>
  <si>
    <t>Initial copy / seed to cloud (TB)</t>
  </si>
  <si>
    <t>Cold</t>
  </si>
  <si>
    <t>Restore / read per event (TB)</t>
  </si>
  <si>
    <t>Media-agent VM count</t>
  </si>
  <si>
    <t>Redundancy</t>
  </si>
  <si>
    <t>Storage x</t>
  </si>
  <si>
    <t>VM hourly</t>
  </si>
  <si>
    <t>$/hr</t>
  </si>
  <si>
    <t>Object/TB</t>
  </si>
  <si>
    <t>31250</t>
  </si>
  <si>
    <t>VM OS (Windows/Linux)</t>
  </si>
  <si>
    <t>Windows</t>
  </si>
  <si>
    <t>Obj size</t>
  </si>
  <si>
    <t>32 MB</t>
  </si>
  <si>
    <t>Disk count</t>
  </si>
  <si>
    <t>ZRS</t>
  </si>
  <si>
    <t>Linux</t>
  </si>
  <si>
    <t>Disk PSSDv2</t>
  </si>
  <si>
    <t>Disk size (GiB)</t>
  </si>
  <si>
    <t>GRS</t>
  </si>
  <si>
    <t>Hours/mo</t>
  </si>
  <si>
    <t>$/GiB-mo</t>
  </si>
  <si>
    <t>(disk)</t>
  </si>
  <si>
    <t>ExpressRoute Direct (Yes/No)</t>
  </si>
  <si>
    <t>Yes</t>
  </si>
  <si>
    <t>ER 10 Gbps port count</t>
  </si>
  <si>
    <t>ER gateway</t>
  </si>
  <si>
    <t>ER port 10G</t>
  </si>
  <si>
    <t>$/mo</t>
  </si>
  <si>
    <t>Gateway Mbps</t>
  </si>
  <si>
    <t>ErGw3AZ</t>
  </si>
  <si>
    <t>Standard</t>
  </si>
  <si>
    <t>Metered</t>
  </si>
  <si>
    <t>Capacity to store (B4) is linked to the Calculator sheet grand total (Calculator!P35) - it updates automatically and cannot be edited to a contradictory figure. Change the inputs on the Calculator sheet to change it.</t>
  </si>
  <si>
    <t>ErGw1AZ</t>
  </si>
  <si>
    <t>Unlimited</t>
  </si>
  <si>
    <t>ErGw2AZ</t>
  </si>
  <si>
    <t>Egress/GB</t>
  </si>
  <si>
    <t>Computed outputs (live)</t>
  </si>
  <si>
    <t>HighPerf</t>
  </si>
  <si>
    <t>Projected baseline at horizon (TB, linked)</t>
  </si>
  <si>
    <t>Daily physical change (TB/day, linked)</t>
  </si>
  <si>
    <t>Ultra</t>
  </si>
  <si>
    <t>Reference lock period (days, linked)</t>
  </si>
  <si>
    <t>Billed capacity for selected tier (TB)</t>
  </si>
  <si>
    <t>Blob storage / month</t>
  </si>
  <si>
    <t>Blob storage / year</t>
  </si>
  <si>
    <t>Seeding PUT (one-time)</t>
  </si>
  <si>
    <t>Restore GET (per event)</t>
  </si>
  <si>
    <t>Compute / month</t>
  </si>
  <si>
    <t>Compute / year</t>
  </si>
  <si>
    <t>Recurring (storage + compute) / month</t>
  </si>
  <si>
    <t>Recurring (storage + compute) / year</t>
  </si>
  <si>
    <t>Tier minimum warning</t>
  </si>
  <si>
    <t>ExpressRoute (only if ER = Yes)</t>
  </si>
  <si>
    <t>ER port line / month</t>
  </si>
  <si>
    <t>ER gateway line / month</t>
  </si>
  <si>
    <t>ER subtotal / month</t>
  </si>
  <si>
    <t>ER subtotal / year</t>
  </si>
  <si>
    <t>Grand Option C total (incl. ExpressRoute)</t>
  </si>
  <si>
    <t>Grand total / month</t>
  </si>
  <si>
    <t>Grand total / year</t>
  </si>
  <si>
    <t>Restore / copy speed (gateway limited)</t>
  </si>
  <si>
    <t>Gateway throughput (Mbps)</t>
  </si>
  <si>
    <t>Gateway throughput (MB/s)</t>
  </si>
  <si>
    <t>Estimated seed copy time (days)</t>
  </si>
  <si>
    <t>Estimated restore time (days)</t>
  </si>
  <si>
    <t>Gateway SKU caps VNet throughput regardless of ExpressRoute link/circuit size. Times assume 100% line rate; real throughput ~70-90% of maximum. FastPath (Ultra/ErGw3AZ only) bypasses the gateway limit. 1 TB = 1000 GB decimal.</t>
  </si>
  <si>
    <t>Egress ~$0.025/GB on restores; ingress free. Unlimited 10G port alternative $56,000/mo each. Rough estimate, UK South, valid Aug 2026 only.</t>
  </si>
  <si>
    <t>Blob tier comparison (using Capacity, Seed, Restore inputs)</t>
  </si>
  <si>
    <t>Metric</t>
  </si>
  <si>
    <t>Storage / month</t>
  </si>
  <si>
    <t>Seed PUT (one-time)</t>
  </si>
  <si>
    <t>CVO Option B cost model - NetApp Cloud Volumes ONTAP + BlueXP DataLock</t>
  </si>
  <si>
    <t>All sizes decimal (1 TB = 1000 GB). Prices USD ex-VAT retail PAYG UK South, valid AUGUST 2026 ONLY. NetApp CVO licence is indicative - confirm with a NetApp quote.</t>
  </si>
  <si>
    <t>Azure UK South + NetApp CVO, USD - VALID AUGUST 2026 ONLY; NetApp licence indicative, needs a quote</t>
  </si>
  <si>
    <t>Capacity to store / WORM (TB)</t>
  </si>
  <si>
    <t>Linked to the Calculator RETAINED footprint (Calculator!O35 = projected baseline + retained change), in TB. Each billing basis below is derived separately from this figure. Updates automatically; edit the Calculator sheet to change it.</t>
  </si>
  <si>
    <t>CVO</t>
  </si>
  <si>
    <t>value</t>
  </si>
  <si>
    <t>Disk type</t>
  </si>
  <si>
    <t>$/decimal TB-mo</t>
  </si>
  <si>
    <t>Mbps</t>
  </si>
  <si>
    <t>CVO licence ($/TB-month)</t>
  </si>
  <si>
    <t>Indicative Essentials licence; needs a NetApp quote.</t>
  </si>
  <si>
    <t>Licence $/TB-mo</t>
  </si>
  <si>
    <t>VM node type</t>
  </si>
  <si>
    <t>E32ds_v5</t>
  </si>
  <si>
    <t>Capacity limit TB</t>
  </si>
  <si>
    <t>Premium</t>
  </si>
  <si>
    <t>Nodes (HA)</t>
  </si>
  <si>
    <t>LB $/mo</t>
  </si>
  <si>
    <t>Disk type (Standard/Premium)</t>
  </si>
  <si>
    <t>$/TB-mo</t>
  </si>
  <si>
    <t>Tiering to Blob (%)</t>
  </si>
  <si>
    <t>Share of capacity on Blob; the rest stays on managed disk.</t>
  </si>
  <si>
    <t>Blob tier (Hot/Cool)</t>
  </si>
  <si>
    <t>VM node</t>
  </si>
  <si>
    <t>ExpressRoute (Yes/No)</t>
  </si>
  <si>
    <t>E64ds_v5</t>
  </si>
  <si>
    <t>ER port 10G $/mo</t>
  </si>
  <si>
    <t>Retained footprint R (TB, linked)</t>
  </si>
  <si>
    <t>Managed-disk basis (TB)</t>
  </si>
  <si>
    <t>Blob-tiered basis (TB)</t>
  </si>
  <si>
    <t>Licence-used basis (TB)</t>
  </si>
  <si>
    <t>Licence-provisioned basis (TB)</t>
  </si>
  <si>
    <t>Systems needed</t>
  </si>
  <si>
    <t>Licence / month</t>
  </si>
  <si>
    <t>Licence / year</t>
  </si>
  <si>
    <t>Managed disk / month</t>
  </si>
  <si>
    <t>Managed disk / year</t>
  </si>
  <si>
    <t>Blob / month</t>
  </si>
  <si>
    <t>Blob / year</t>
  </si>
  <si>
    <t>VM HA / month</t>
  </si>
  <si>
    <t>Fixed (VM + LB) / month</t>
  </si>
  <si>
    <t>CVO infra subtotal / month</t>
  </si>
  <si>
    <t>CVO infra subtotal / year</t>
  </si>
  <si>
    <t>Blob tier minimum warning</t>
  </si>
  <si>
    <t>ExpressRoute (added once, only if ER = Yes)</t>
  </si>
  <si>
    <t>ExpressRoute / month</t>
  </si>
  <si>
    <t>ExpressRoute / year</t>
  </si>
  <si>
    <t>Grand total (CVO + ExpressRoute)</t>
  </si>
  <si>
    <t>Systems needed = CEILING(capacity/2250), and 0 when capacity is 0 (zero capacity gives zero systems and zero cost) - CVO supports up to 2 PiB per system; VM+LB multiply by systems. Managed disk is priced per DECIMAL TB-month (Standard 76.8341, Premium 123.9408; 1 TB = 931.3226 GiB). ExpressRoute added once for the whole solution. Rough estimate, UK South, Aug 2026; NetApp licence indicative - get a quote. 1 TB = 1000 GB decimal.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</si>
</sst>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000"/>
    <numFmt numFmtId="166" formatCode="0.0#"/>
    <numFmt numFmtId="167" formatCode="0.000"/>
    <numFmt numFmtId="168" formatCode="#,##0.0000"/>
  </numFmts>
  <fonts count="23" x14ac:knownFonts="1">
    <font>
      <color theme="1"/>
      <family val="2"/>
      <scheme val="minor"/>
      <sz val="11"/>
      <name val="Calibri"/>
    </font>
    <font>
      <b/>
      <color rgb="FF1B5E20"/>
      <sz val="16"/>
    </font>
    <font>
      <sz val="10"/>
    </font>
    <font>
      <b/>
      <color rgb="FFB71C1C"/>
      <sz val="12"/>
    </font>
    <font>
      <b/>
      <color rgb="FF1B5E20"/>
      <sz val="10"/>
    </font>
    <font>
      <b/>
      <u/>
      <color rgb="FF0B5394"/>
      <sz val="10"/>
    </font>
    <font>
      <b/>
      <color rgb="FF1B5E20"/>
      <sz val="13"/>
    </font>
    <font>
      <b/>
      <color rgb="FF1B5E20"/>
      <sz val="12"/>
    </font>
    <font>
      <b/>
      <color rgb="FF1B5E20"/>
      <sz val="11"/>
    </font>
    <font>
      <b/>
      <color rgb="FF1B5E20"/>
      <sz val="14"/>
    </font>
    <font>
      <b/>
      <color rgb="FF6A1B9A"/>
      <sz val="11"/>
    </font>
    <font>
      <b/>
      <sz val="10"/>
    </font>
    <font>
      <b/>
    </font>
    <font>
      <i/>
      <color rgb="FF555555"/>
      <sz val="9"/>
    </font>
    <font>
      <color rgb="FF7A5200"/>
      <sz val="9"/>
    </font>
    <font>
      <b/>
      <color rgb="FFFFFFFF"/>
      <sz val="10"/>
    </font>
    <font>
      <b/>
      <sz val="9"/>
    </font>
    <font>
      <sz val="9"/>
    </font>
    <font>
      <color rgb="FFB71C1C"/>
      <sz val="9"/>
    </font>
    <font>
      <b/>
      <color rgb="FFFFFFFF"/>
    </font>
    <font>
      <b/>
      <color rgb="FF7A5200"/>
      <sz val="10"/>
    </font>
    <font>
      <b/>
      <color rgb="FF6A1B9A"/>
      <sz val="10"/>
    </font>
    <font/>
  </fonts>
  <fills count="8">
    <fill>
      <patternFill patternType="none"/>
    </fill>
    <fill>
      <patternFill patternType="gray125"/>
    </fill>
    <fill>
      <patternFill patternType="solid">
        <fgColor rgb="FFE8F5E9"/>
      </patternFill>
    </fill>
    <fill>
      <patternFill patternType="solid">
        <fgColor rgb="FFFFF3E0"/>
      </patternFill>
    </fill>
    <fill>
      <patternFill patternType="solid">
        <fgColor rgb="FFFFF7E6"/>
      </patternFill>
    </fill>
    <fill>
      <patternFill patternType="solid">
        <fgColor rgb="FF2E7D32"/>
      </patternFill>
    </fill>
    <fill>
      <patternFill patternType="solid">
        <fgColor rgb="FFEAF3FB"/>
      </patternFill>
    </fill>
    <fill>
      <patternFill patternType="solid">
        <fgColor rgb="FFF0F4C3"/>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67">
    <xf numFmtId="0" fontId="0" fillId="0" borderId="0" xfId="0"/>
    <xf numFmtId="0" fontId="0" fillId="2" borderId="0" xfId="0" applyFill="1"/>
    <xf numFmtId="0" fontId="1" fillId="2" borderId="0" xfId="0" applyFont="1" applyFill="1" applyAlignment="1">
      <alignment vertical="top" wrapText="1"/>
    </xf>
    <xf numFmtId="0" fontId="2" fillId="0" borderId="0" xfId="0" applyFont="1" applyAlignment="1">
      <alignment vertical="top" wrapText="1"/>
    </xf>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5" fillId="3" borderId="1" xfId="0" applyFont="1" applyFill="1" applyBorder="1" applyAlignment="1">
      <alignment vertical="top" wrapText="1"/>
    </xf>
    <xf numFmtId="0" fontId="1"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center"/>
    </xf>
    <xf numFmtId="0" fontId="10" fillId="0" borderId="0" xfId="0" applyFont="1"/>
    <xf numFmtId="0" fontId="11" fillId="0" borderId="0" xfId="0" applyFont="1" applyAlignment="1">
      <alignment vertical="center" wrapText="1"/>
    </xf>
    <xf numFmtId="0" fontId="12" fillId="4" borderId="1" xfId="0" applyFont="1" applyFill="1" applyBorder="1" applyAlignment="1">
      <alignment horizontal="center" vertical="center"/>
    </xf>
    <xf numFmtId="0" fontId="13" fillId="0" borderId="0" xfId="0" applyFont="1" applyAlignment="1">
      <alignment vertical="center" wrapText="1"/>
    </xf>
    <xf numFmtId="1" fontId="12" fillId="4" borderId="1" xfId="0" applyNumberFormat="1" applyFont="1" applyFill="1" applyBorder="1" applyAlignment="1">
      <alignment horizontal="center" vertical="center"/>
    </xf>
    <xf numFmtId="164" fontId="12" fillId="4" borderId="1" xfId="0" applyNumberFormat="1" applyFont="1" applyFill="1" applyBorder="1" applyAlignment="1">
      <alignment horizontal="center" vertical="center"/>
    </xf>
    <xf numFmtId="0" fontId="13" fillId="3" borderId="1" xfId="0" applyFont="1" applyFill="1" applyBorder="1" applyAlignment="1">
      <alignment vertical="top" wrapText="1"/>
    </xf>
    <xf numFmtId="165" fontId="12" fillId="4" borderId="1" xfId="0" applyNumberFormat="1" applyFont="1" applyFill="1" applyBorder="1" applyAlignment="1">
      <alignment horizontal="center" vertical="center"/>
    </xf>
    <xf numFmtId="0" fontId="4" fillId="3" borderId="1" xfId="0" applyFont="1" applyFill="1" applyBorder="1" applyAlignment="1">
      <alignment vertical="center" wrapText="1"/>
    </xf>
    <xf numFmtId="0" fontId="14" fillId="3" borderId="1" xfId="0" applyFont="1" applyFill="1" applyBorder="1" applyAlignment="1">
      <alignment vertical="top" wrapText="1"/>
    </xf>
    <xf numFmtId="0" fontId="15" fillId="5" borderId="1" xfId="0" applyFont="1" applyFill="1" applyBorder="1" applyAlignment="1">
      <alignment horizontal="center" vertical="center" wrapText="1"/>
    </xf>
    <xf numFmtId="0" fontId="0" fillId="4" borderId="1" xfId="0" applyFill="1" applyBorder="1" applyAlignment="1">
      <alignment vertical="center" wrapText="1"/>
    </xf>
    <xf numFmtId="2" fontId="0" fillId="4" borderId="1" xfId="0" applyNumberFormat="1" applyFill="1" applyBorder="1" applyAlignment="1">
      <alignment vertical="center"/>
    </xf>
    <xf numFmtId="0" fontId="0" fillId="4" borderId="1" xfId="0" applyFill="1" applyBorder="1" applyAlignment="1">
      <alignment vertical="center"/>
    </xf>
    <xf numFmtId="4" fontId="0" fillId="6" borderId="1" xfId="0" applyNumberFormat="1" applyFill="1" applyBorder="1" applyAlignment="1">
      <alignment vertical="center"/>
    </xf>
    <xf numFmtId="166" fontId="0" fillId="4" borderId="1" xfId="0" applyNumberFormat="1" applyFill="1" applyBorder="1" applyAlignment="1">
      <alignment vertical="center"/>
    </xf>
    <xf numFmtId="164" fontId="0" fillId="4" borderId="1" xfId="0" applyNumberFormat="1" applyFill="1" applyBorder="1" applyAlignment="1">
      <alignment vertical="center"/>
    </xf>
    <xf numFmtId="1" fontId="0" fillId="4" borderId="1" xfId="0" applyNumberFormat="1" applyFill="1" applyBorder="1" applyAlignment="1">
      <alignment vertical="center"/>
    </xf>
    <xf numFmtId="0" fontId="12" fillId="7" borderId="1" xfId="0" applyFont="1" applyFill="1" applyBorder="1"/>
    <xf numFmtId="0" fontId="0" fillId="7" borderId="1" xfId="0" applyFill="1" applyBorder="1"/>
    <xf numFmtId="4" fontId="12" fillId="7" borderId="1" xfId="0" applyNumberFormat="1" applyFont="1" applyFill="1" applyBorder="1"/>
    <xf numFmtId="0" fontId="16" fillId="0" borderId="0" xfId="0" applyFont="1"/>
    <xf numFmtId="0" fontId="17" fillId="4" borderId="0" xfId="0" applyFont="1" applyFill="1"/>
    <xf numFmtId="0" fontId="17" fillId="6" borderId="0" xfId="0" applyFont="1" applyFill="1"/>
    <xf numFmtId="0" fontId="13" fillId="3" borderId="1" xfId="0" applyFont="1" applyFill="1" applyBorder="1" applyAlignment="1">
      <alignment vertical="center" wrapText="1"/>
    </xf>
    <xf numFmtId="0" fontId="16" fillId="0" borderId="0" xfId="0" applyFont="1" applyAlignment="1">
      <alignment vertical="center" wrapText="1"/>
    </xf>
    <xf numFmtId="0" fontId="18" fillId="3" borderId="1" xfId="0" applyFont="1" applyFill="1" applyBorder="1" applyAlignment="1">
      <alignment horizontal="left" vertical="center" wrapText="1"/>
    </xf>
    <xf numFmtId="0" fontId="6" fillId="2" borderId="0" xfId="0" applyFont="1" applyFill="1" applyAlignment="1">
      <alignment vertical="center"/>
    </xf>
    <xf numFmtId="0" fontId="19" fillId="5" borderId="1" xfId="0" applyFont="1" applyFill="1" applyBorder="1" applyAlignment="1">
      <alignment vertical="center" wrapText="1"/>
    </xf>
    <xf numFmtId="0" fontId="2" fillId="0" borderId="1" xfId="0" applyFont="1" applyBorder="1" applyAlignment="1">
      <alignment vertical="top" wrapText="1"/>
    </xf>
    <xf numFmtId="0" fontId="9" fillId="0" borderId="0" xfId="0" applyFont="1"/>
    <xf numFmtId="0" fontId="4" fillId="3" borderId="1" xfId="0" applyFont="1" applyFill="1" applyBorder="1" applyAlignment="1">
      <alignment vertical="center"/>
    </xf>
    <xf numFmtId="0" fontId="20" fillId="3" borderId="1" xfId="0" applyFont="1" applyFill="1" applyBorder="1" applyAlignment="1">
      <alignment horizontal="center" vertical="center" wrapText="1"/>
    </xf>
    <xf numFmtId="4" fontId="12" fillId="6" borderId="1" xfId="0" applyNumberFormat="1" applyFont="1" applyFill="1" applyBorder="1" applyAlignment="1">
      <alignment horizontal="center" vertical="center"/>
    </xf>
    <xf numFmtId="0" fontId="16" fillId="6"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165" fontId="17" fillId="6" borderId="1" xfId="0" applyNumberFormat="1" applyFont="1" applyFill="1" applyBorder="1" applyAlignment="1">
      <alignment horizontal="center" vertical="center" wrapText="1"/>
    </xf>
    <xf numFmtId="4" fontId="12" fillId="4" borderId="1" xfId="0" applyNumberFormat="1" applyFont="1" applyFill="1" applyBorder="1" applyAlignment="1">
      <alignment horizontal="center" vertical="center"/>
    </xf>
    <xf numFmtId="2" fontId="17" fillId="6" borderId="1" xfId="0" applyNumberFormat="1" applyFont="1" applyFill="1" applyBorder="1" applyAlignment="1">
      <alignment horizontal="center" vertical="center" wrapText="1"/>
    </xf>
    <xf numFmtId="167" fontId="17" fillId="6" borderId="1" xfId="0" applyNumberFormat="1" applyFont="1" applyFill="1" applyBorder="1" applyAlignment="1">
      <alignment horizontal="center" vertical="center" wrapText="1"/>
    </xf>
    <xf numFmtId="3" fontId="12" fillId="4" borderId="1" xfId="0" applyNumberFormat="1" applyFont="1" applyFill="1" applyBorder="1" applyAlignment="1">
      <alignment horizontal="center" vertical="center"/>
    </xf>
    <xf numFmtId="1" fontId="17" fillId="6" borderId="1" xfId="0" applyNumberFormat="1" applyFont="1" applyFill="1" applyBorder="1" applyAlignment="1">
      <alignment horizontal="center" vertical="center" wrapText="1"/>
    </xf>
    <xf numFmtId="3" fontId="17" fillId="6" borderId="1" xfId="0" applyNumberFormat="1" applyFont="1" applyFill="1" applyBorder="1" applyAlignment="1">
      <alignment horizontal="center" vertical="center" wrapText="1"/>
    </xf>
    <xf numFmtId="0" fontId="21" fillId="2" borderId="0" xfId="0" applyFont="1" applyFill="1"/>
    <xf numFmtId="0" fontId="2" fillId="0" borderId="0" xfId="0" applyFont="1" applyAlignment="1">
      <alignment vertical="center" wrapText="1"/>
    </xf>
    <xf numFmtId="4" fontId="22" fillId="6" borderId="1" xfId="0" applyNumberFormat="1" applyFont="1" applyFill="1" applyBorder="1" applyAlignment="1">
      <alignment horizontal="right" vertical="center"/>
    </xf>
    <xf numFmtId="1" fontId="22" fillId="6" borderId="1" xfId="0" applyNumberFormat="1" applyFont="1" applyFill="1" applyBorder="1" applyAlignment="1">
      <alignment horizontal="right" vertical="center"/>
    </xf>
    <xf numFmtId="4" fontId="12" fillId="6" borderId="1" xfId="0" applyNumberFormat="1" applyFont="1" applyFill="1" applyBorder="1" applyAlignment="1">
      <alignment horizontal="right" vertical="center"/>
    </xf>
    <xf numFmtId="0" fontId="17" fillId="3" borderId="1" xfId="0" applyFont="1" applyFill="1" applyBorder="1" applyAlignment="1">
      <alignment horizontal="left" vertical="center" wrapText="1"/>
    </xf>
    <xf numFmtId="3" fontId="22" fillId="6" borderId="1" xfId="0" applyNumberFormat="1" applyFont="1" applyFill="1" applyBorder="1" applyAlignment="1">
      <alignment horizontal="right" vertical="center"/>
    </xf>
    <xf numFmtId="0" fontId="19" fillId="5" borderId="1" xfId="0" applyFont="1" applyFill="1" applyBorder="1" applyAlignment="1">
      <alignment horizontal="center"/>
    </xf>
    <xf numFmtId="0" fontId="2" fillId="0" borderId="1" xfId="0" applyFont="1" applyBorder="1" applyAlignment="1">
      <alignment wrapText="1"/>
    </xf>
    <xf numFmtId="4" fontId="0" fillId="6" borderId="1" xfId="0" applyNumberFormat="1" applyFill="1" applyBorder="1" applyAlignment="1">
      <alignment horizontal="right"/>
    </xf>
    <xf numFmtId="4" fontId="17" fillId="6" borderId="1" xfId="0" applyNumberFormat="1" applyFont="1" applyFill="1" applyBorder="1" applyAlignment="1">
      <alignment horizontal="center" vertical="center" wrapText="1"/>
    </xf>
    <xf numFmtId="168" fontId="17" fillId="6"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37"/>
  <sheetViews>
    <sheetView workbookViewId="0">
      <pane ySplit="1" topLeftCell="A2" activePane="bottomLeft" state="frozen"/>
      <selection pane="bottomLeft"/>
    </sheetView>
  </sheetViews>
  <sheetFormatPr defaultRowHeight="15" outlineLevelRow="0" outlineLevelCol="0" x14ac:dyDescent="55"/>
  <cols>
    <col min="1" max="1" width="4" customWidth="1"/>
    <col min="2" max="2" width="120" customWidth="1"/>
  </cols>
  <sheetData>
    <row r="1" ht="26" customHeight="1" spans="1:2" x14ac:dyDescent="0.25">
      <c r="A1" s="1"/>
      <c r="B1" s="2" t="s">
        <v>0</v>
      </c>
    </row>
    <row r="2" ht="26" customHeight="1" spans="2:2" x14ac:dyDescent="0.25">
      <c r="B2" s="3" t="s">
        <v>1</v>
      </c>
    </row>
    <row r="3" ht="6" customHeight="1" x14ac:dyDescent="0.25"/>
    <row r="4" ht="28" customHeight="1" spans="2:2" x14ac:dyDescent="0.25">
      <c r="B4" s="4" t="s">
        <v>2</v>
      </c>
    </row>
    <row r="5" ht="30" customHeight="1" spans="2:2" x14ac:dyDescent="0.25">
      <c r="B5" s="5" t="s">
        <v>3</v>
      </c>
    </row>
    <row r="6" ht="6" customHeight="1" x14ac:dyDescent="0.25"/>
    <row r="7" ht="28" customHeight="1" spans="2:2" x14ac:dyDescent="0.25">
      <c r="B7" s="5" t="s">
        <v>4</v>
      </c>
    </row>
    <row r="8" ht="6" customHeight="1" x14ac:dyDescent="0.25"/>
    <row r="9" ht="28" customHeight="1" spans="2:2" x14ac:dyDescent="0.25">
      <c r="B9" s="6" t="s">
        <v>5</v>
      </c>
    </row>
    <row r="10" ht="6" customHeight="1" x14ac:dyDescent="0.25"/>
    <row r="11" ht="26" customHeight="1" spans="2:2" x14ac:dyDescent="0.25">
      <c r="B11" s="7" t="s">
        <v>6</v>
      </c>
    </row>
    <row r="12" ht="20" customHeight="1" spans="2:2" x14ac:dyDescent="0.25">
      <c r="B12" s="8" t="s">
        <v>7</v>
      </c>
    </row>
    <row r="13" ht="91" customHeight="1" spans="2:2" x14ac:dyDescent="0.25">
      <c r="B13" s="3" t="s">
        <v>8</v>
      </c>
    </row>
    <row r="14" ht="6" customHeight="1" x14ac:dyDescent="0.25"/>
    <row r="15" ht="20" customHeight="1" spans="2:2" x14ac:dyDescent="0.25">
      <c r="B15" s="8" t="s">
        <v>9</v>
      </c>
    </row>
    <row r="16" ht="39" customHeight="1" spans="2:2" x14ac:dyDescent="0.25">
      <c r="B16" s="3" t="s">
        <v>10</v>
      </c>
    </row>
    <row r="17" ht="65" customHeight="1" spans="2:2" x14ac:dyDescent="0.25">
      <c r="B17" s="3" t="s">
        <v>11</v>
      </c>
    </row>
    <row r="18" ht="52" customHeight="1" spans="2:2" x14ac:dyDescent="0.25">
      <c r="B18" s="3" t="s">
        <v>12</v>
      </c>
    </row>
    <row r="19" ht="39" customHeight="1" spans="2:2" x14ac:dyDescent="0.25">
      <c r="B19" s="3" t="s">
        <v>13</v>
      </c>
    </row>
    <row r="20" ht="6" customHeight="1" x14ac:dyDescent="0.25"/>
    <row r="21" ht="20" customHeight="1" spans="2:2" x14ac:dyDescent="0.25">
      <c r="B21" s="9" t="s">
        <v>14</v>
      </c>
    </row>
    <row r="22" ht="91" customHeight="1" spans="2:2" x14ac:dyDescent="0.25">
      <c r="B22" s="3" t="s">
        <v>15</v>
      </c>
    </row>
    <row r="23" ht="6" customHeight="1" x14ac:dyDescent="0.25"/>
    <row r="24" ht="20" customHeight="1" spans="2:2" x14ac:dyDescent="0.25">
      <c r="B24" s="9" t="s">
        <v>16</v>
      </c>
    </row>
    <row r="25" ht="15" customHeight="1" spans="2:2" x14ac:dyDescent="0.25">
      <c r="B25" s="3" t="s">
        <v>17</v>
      </c>
    </row>
    <row r="26" ht="39" customHeight="1" spans="2:2" x14ac:dyDescent="0.25">
      <c r="B26" s="3" t="s">
        <v>18</v>
      </c>
    </row>
    <row r="27" ht="26" customHeight="1" spans="2:2" x14ac:dyDescent="0.25">
      <c r="B27" s="3" t="s">
        <v>19</v>
      </c>
    </row>
    <row r="28" ht="39" customHeight="1" spans="2:2" x14ac:dyDescent="0.25">
      <c r="B28" s="3" t="s">
        <v>20</v>
      </c>
    </row>
    <row r="29" ht="6" customHeight="1" x14ac:dyDescent="0.25"/>
    <row r="30" ht="20" customHeight="1" spans="2:2" x14ac:dyDescent="0.25">
      <c r="B30" s="9" t="s">
        <v>21</v>
      </c>
    </row>
    <row r="31" ht="65" customHeight="1" spans="2:2" x14ac:dyDescent="0.25">
      <c r="B31" s="3" t="s">
        <v>22</v>
      </c>
    </row>
    <row r="32" ht="6" customHeight="1" x14ac:dyDescent="0.25"/>
    <row r="33" ht="20" customHeight="1" spans="2:2" x14ac:dyDescent="0.25">
      <c r="B33" s="9" t="s">
        <v>23</v>
      </c>
    </row>
    <row r="34" ht="15" customHeight="1" spans="2:2" x14ac:dyDescent="0.25">
      <c r="B34" s="3" t="s">
        <v>24</v>
      </c>
    </row>
    <row r="35" ht="39" customHeight="1" spans="2:2" x14ac:dyDescent="0.25">
      <c r="B35" s="3" t="s">
        <v>25</v>
      </c>
    </row>
    <row r="36" ht="15" customHeight="1" spans="2:2" x14ac:dyDescent="0.25">
      <c r="B36" s="3" t="s">
        <v>26</v>
      </c>
    </row>
    <row r="37" ht="15" customHeight="1" spans="2:2" x14ac:dyDescent="0.25">
      <c r="B37" s="3" t="s">
        <v>27</v>
      </c>
    </row>
    <row r="38" ht="26" customHeight="1" spans="2:2" x14ac:dyDescent="0.25">
      <c r="B38" s="3" t="s">
        <v>28</v>
      </c>
    </row>
    <row r="39" ht="26" customHeight="1" spans="2:2" x14ac:dyDescent="0.25">
      <c r="B39" s="3" t="s">
        <v>29</v>
      </c>
    </row>
    <row r="40" ht="26" customHeight="1" spans="2:2" x14ac:dyDescent="0.25">
      <c r="B40" s="3" t="s">
        <v>30</v>
      </c>
    </row>
    <row r="41" ht="15" customHeight="1" spans="2:2" x14ac:dyDescent="0.25">
      <c r="B41" s="3" t="s">
        <v>31</v>
      </c>
    </row>
    <row r="42" ht="26" customHeight="1" spans="2:2" x14ac:dyDescent="0.25">
      <c r="B42" s="3" t="s">
        <v>32</v>
      </c>
    </row>
    <row r="43" ht="6" customHeight="1" x14ac:dyDescent="0.25"/>
    <row r="44" ht="20" customHeight="1" spans="2:2" x14ac:dyDescent="0.25">
      <c r="B44" s="9" t="s">
        <v>33</v>
      </c>
    </row>
    <row r="45" ht="39" customHeight="1" spans="2:2" x14ac:dyDescent="0.25">
      <c r="B45" s="3" t="s">
        <v>34</v>
      </c>
    </row>
    <row r="46" ht="6" customHeight="1" x14ac:dyDescent="0.25"/>
    <row r="47" ht="20" customHeight="1" spans="2:2" x14ac:dyDescent="0.25">
      <c r="B47" s="9" t="s">
        <v>35</v>
      </c>
    </row>
    <row r="48" ht="15" customHeight="1" spans="2:2" x14ac:dyDescent="0.25">
      <c r="B48" s="3" t="s">
        <v>36</v>
      </c>
    </row>
    <row r="49" ht="15" customHeight="1" spans="2:2" x14ac:dyDescent="0.25">
      <c r="B49" s="3" t="s">
        <v>37</v>
      </c>
    </row>
    <row r="50" ht="15" customHeight="1" spans="2:2" x14ac:dyDescent="0.25">
      <c r="B50" s="3" t="s">
        <v>38</v>
      </c>
    </row>
    <row r="51" ht="15" customHeight="1" spans="2:2" x14ac:dyDescent="0.25">
      <c r="B51" s="3" t="s">
        <v>39</v>
      </c>
    </row>
    <row r="52" ht="26" customHeight="1" spans="2:2" x14ac:dyDescent="0.25">
      <c r="B52" s="3" t="s">
        <v>40</v>
      </c>
    </row>
    <row r="53" ht="39" customHeight="1" spans="2:2" x14ac:dyDescent="0.25">
      <c r="B53" s="3" t="s">
        <v>41</v>
      </c>
    </row>
    <row r="54" ht="6" customHeight="1" x14ac:dyDescent="0.25"/>
    <row r="55" ht="20" customHeight="1" spans="2:2" x14ac:dyDescent="0.25">
      <c r="B55" s="9" t="s">
        <v>42</v>
      </c>
    </row>
    <row r="56" ht="39" customHeight="1" spans="2:2" x14ac:dyDescent="0.25">
      <c r="B56" s="3" t="s">
        <v>43</v>
      </c>
    </row>
    <row r="57" ht="52" customHeight="1" spans="2:2" x14ac:dyDescent="0.25">
      <c r="B57" s="3" t="s">
        <v>44</v>
      </c>
    </row>
    <row r="58" ht="39" customHeight="1" spans="2:2" x14ac:dyDescent="0.25">
      <c r="B58" s="3" t="s">
        <v>45</v>
      </c>
    </row>
    <row r="59" ht="65" customHeight="1" spans="2:2" x14ac:dyDescent="0.25">
      <c r="B59" s="3" t="s">
        <v>46</v>
      </c>
    </row>
    <row r="60" ht="78" customHeight="1" spans="2:2" x14ac:dyDescent="0.25">
      <c r="B60" s="3" t="s">
        <v>47</v>
      </c>
    </row>
    <row r="61" ht="26" customHeight="1" spans="2:2" x14ac:dyDescent="0.25">
      <c r="B61" s="3" t="s">
        <v>48</v>
      </c>
    </row>
    <row r="62" ht="6" customHeight="1" x14ac:dyDescent="0.25"/>
    <row r="63" ht="20" customHeight="1" spans="2:2" x14ac:dyDescent="0.25">
      <c r="B63" s="10" t="s">
        <v>49</v>
      </c>
    </row>
    <row r="64" ht="15" customHeight="1" spans="2:2" x14ac:dyDescent="0.25">
      <c r="B64" s="3" t="s">
        <v>50</v>
      </c>
    </row>
    <row r="65" ht="15" customHeight="1" spans="2:2" x14ac:dyDescent="0.25">
      <c r="B65" s="3" t="s">
        <v>51</v>
      </c>
    </row>
    <row r="66" ht="15" customHeight="1" spans="2:2" x14ac:dyDescent="0.25">
      <c r="B66" s="3" t="s">
        <v>52</v>
      </c>
    </row>
    <row r="67" ht="15" customHeight="1" spans="2:2" x14ac:dyDescent="0.25">
      <c r="B67" s="3" t="s">
        <v>53</v>
      </c>
    </row>
    <row r="68" ht="15" customHeight="1" spans="2:2" x14ac:dyDescent="0.25">
      <c r="B68" s="3" t="s">
        <v>54</v>
      </c>
    </row>
    <row r="69" ht="15" customHeight="1" spans="2:2" x14ac:dyDescent="0.25">
      <c r="B69" s="3" t="s">
        <v>55</v>
      </c>
    </row>
    <row r="70" ht="26" customHeight="1" spans="2:2" x14ac:dyDescent="0.25">
      <c r="B70" s="3" t="s">
        <v>56</v>
      </c>
    </row>
    <row r="71" ht="6" customHeight="1" x14ac:dyDescent="0.25"/>
    <row r="72" ht="20" customHeight="1" spans="2:2" x14ac:dyDescent="0.25">
      <c r="B72" s="9" t="s">
        <v>57</v>
      </c>
    </row>
    <row r="73" ht="39" customHeight="1" spans="2:2" x14ac:dyDescent="0.25">
      <c r="B73" s="3" t="s">
        <v>58</v>
      </c>
    </row>
    <row r="74" ht="52" customHeight="1" spans="2:2" x14ac:dyDescent="0.25">
      <c r="B74" s="3" t="s">
        <v>59</v>
      </c>
    </row>
    <row r="75" ht="39" customHeight="1" spans="2:2" x14ac:dyDescent="0.25">
      <c r="B75" s="3" t="s">
        <v>60</v>
      </c>
    </row>
    <row r="76" ht="104" customHeight="1" spans="2:2" x14ac:dyDescent="0.25">
      <c r="B76" s="3" t="s">
        <v>61</v>
      </c>
    </row>
    <row r="77" ht="78" customHeight="1" spans="2:2" x14ac:dyDescent="0.25">
      <c r="B77" s="3" t="s">
        <v>62</v>
      </c>
    </row>
    <row r="78" ht="15" customHeight="1" spans="2:2" x14ac:dyDescent="0.25">
      <c r="B78" s="3" t="s">
        <v>63</v>
      </c>
    </row>
    <row r="79" ht="15" customHeight="1" spans="2:2" x14ac:dyDescent="0.25">
      <c r="B79" s="3" t="s">
        <v>64</v>
      </c>
    </row>
    <row r="80" ht="15" customHeight="1" spans="2:2" x14ac:dyDescent="0.25">
      <c r="B80" s="3" t="s">
        <v>65</v>
      </c>
    </row>
    <row r="81" ht="39" customHeight="1" spans="2:2" x14ac:dyDescent="0.25">
      <c r="B81" s="3" t="s">
        <v>66</v>
      </c>
    </row>
    <row r="82" ht="15" customHeight="1" spans="2:2" x14ac:dyDescent="0.25">
      <c r="B82" s="3" t="s">
        <v>67</v>
      </c>
    </row>
    <row r="83" ht="26" customHeight="1" spans="2:2" x14ac:dyDescent="0.25">
      <c r="B83" s="3" t="s">
        <v>68</v>
      </c>
    </row>
    <row r="84" ht="26" customHeight="1" spans="2:2" x14ac:dyDescent="0.25">
      <c r="B84" s="3" t="s">
        <v>69</v>
      </c>
    </row>
    <row r="85" ht="26" customHeight="1" spans="2:2" x14ac:dyDescent="0.25">
      <c r="B85" s="3" t="s">
        <v>70</v>
      </c>
    </row>
    <row r="86" ht="15" customHeight="1" spans="2:2" x14ac:dyDescent="0.25">
      <c r="B86" s="3" t="s">
        <v>71</v>
      </c>
    </row>
    <row r="87" ht="26" customHeight="1" spans="2:2" x14ac:dyDescent="0.25">
      <c r="B87" s="3" t="s">
        <v>72</v>
      </c>
    </row>
    <row r="88" ht="26" customHeight="1" spans="2:2" x14ac:dyDescent="0.25">
      <c r="B88" s="3" t="s">
        <v>73</v>
      </c>
    </row>
    <row r="89" ht="26" customHeight="1" spans="2:2" x14ac:dyDescent="0.25">
      <c r="B89" s="3" t="s">
        <v>74</v>
      </c>
    </row>
    <row r="90" ht="39" customHeight="1" spans="2:2" x14ac:dyDescent="0.25">
      <c r="B90" s="3" t="s">
        <v>75</v>
      </c>
    </row>
    <row r="91" ht="15" customHeight="1" spans="2:2" x14ac:dyDescent="0.25">
      <c r="B91" s="3" t="s">
        <v>76</v>
      </c>
    </row>
    <row r="92" ht="26" customHeight="1" spans="2:2" x14ac:dyDescent="0.25">
      <c r="B92" s="3" t="s">
        <v>77</v>
      </c>
    </row>
    <row r="93" ht="6" customHeight="1" x14ac:dyDescent="0.25"/>
    <row r="94" ht="20" customHeight="1" spans="2:2" x14ac:dyDescent="0.25">
      <c r="B94" s="9" t="s">
        <v>78</v>
      </c>
    </row>
    <row r="95" ht="39" customHeight="1" spans="2:2" x14ac:dyDescent="0.25">
      <c r="B95" s="3" t="s">
        <v>79</v>
      </c>
    </row>
    <row r="96" ht="6" customHeight="1" x14ac:dyDescent="0.25"/>
    <row r="97" ht="20" customHeight="1" spans="2:2" x14ac:dyDescent="0.25">
      <c r="B97" s="9" t="s">
        <v>80</v>
      </c>
    </row>
    <row r="98" ht="26" customHeight="1" spans="2:2" x14ac:dyDescent="0.25">
      <c r="B98" s="3" t="s">
        <v>81</v>
      </c>
    </row>
    <row r="99" ht="26" customHeight="1" spans="2:2" x14ac:dyDescent="0.25">
      <c r="B99" s="3" t="s">
        <v>82</v>
      </c>
    </row>
    <row r="100" ht="26" customHeight="1" spans="2:2" x14ac:dyDescent="0.25">
      <c r="B100" s="3" t="s">
        <v>83</v>
      </c>
    </row>
    <row r="101" ht="26" customHeight="1" spans="2:2" x14ac:dyDescent="0.25">
      <c r="B101" s="3" t="s">
        <v>84</v>
      </c>
    </row>
    <row r="102" ht="6" customHeight="1" x14ac:dyDescent="0.25"/>
    <row r="103" ht="20" customHeight="1" spans="2:2" x14ac:dyDescent="0.25">
      <c r="B103" s="9" t="s">
        <v>85</v>
      </c>
    </row>
    <row r="104" ht="26" customHeight="1" spans="2:2" x14ac:dyDescent="0.25">
      <c r="B104" s="3" t="s">
        <v>86</v>
      </c>
    </row>
    <row r="105" ht="26" customHeight="1" spans="2:2" x14ac:dyDescent="0.25">
      <c r="B105" s="3" t="s">
        <v>87</v>
      </c>
    </row>
    <row r="106" ht="26" customHeight="1" spans="2:2" x14ac:dyDescent="0.25">
      <c r="B106" s="3" t="s">
        <v>88</v>
      </c>
    </row>
    <row r="107" ht="15" customHeight="1" spans="2:2" x14ac:dyDescent="0.25">
      <c r="B107" s="3" t="s">
        <v>89</v>
      </c>
    </row>
    <row r="108" ht="26" customHeight="1" spans="2:2" x14ac:dyDescent="0.25">
      <c r="B108" s="3" t="s">
        <v>90</v>
      </c>
    </row>
    <row r="109" ht="39" customHeight="1" spans="2:2" x14ac:dyDescent="0.25">
      <c r="B109" s="3" t="s">
        <v>91</v>
      </c>
    </row>
    <row r="110" ht="15" customHeight="1" spans="2:2" x14ac:dyDescent="0.25">
      <c r="B110" s="3" t="s">
        <v>92</v>
      </c>
    </row>
    <row r="111" ht="6" customHeight="1" x14ac:dyDescent="0.25"/>
    <row r="112" ht="20" customHeight="1" spans="2:2" x14ac:dyDescent="0.25">
      <c r="B112" s="9" t="s">
        <v>93</v>
      </c>
    </row>
    <row r="113" ht="52" customHeight="1" spans="2:2" x14ac:dyDescent="0.25">
      <c r="B113" s="3" t="s">
        <v>94</v>
      </c>
    </row>
    <row r="114" ht="52" customHeight="1" spans="2:2" x14ac:dyDescent="0.25">
      <c r="B114" s="3" t="s">
        <v>95</v>
      </c>
    </row>
    <row r="115" ht="52" customHeight="1" spans="2:2" x14ac:dyDescent="0.25">
      <c r="B115" s="3" t="s">
        <v>96</v>
      </c>
    </row>
    <row r="116" ht="78" customHeight="1" spans="2:2" x14ac:dyDescent="0.25">
      <c r="B116" s="3" t="s">
        <v>97</v>
      </c>
    </row>
    <row r="117" ht="39" customHeight="1" spans="2:2" x14ac:dyDescent="0.25">
      <c r="B117" s="3" t="s">
        <v>98</v>
      </c>
    </row>
    <row r="118" ht="6" customHeight="1" x14ac:dyDescent="0.25"/>
    <row r="119" ht="20" customHeight="1" spans="2:2" x14ac:dyDescent="0.25">
      <c r="B119" s="9" t="s">
        <v>99</v>
      </c>
    </row>
    <row r="120" ht="39" customHeight="1" spans="2:2" x14ac:dyDescent="0.25">
      <c r="B120" s="3" t="s">
        <v>100</v>
      </c>
    </row>
    <row r="121" ht="15" customHeight="1" spans="2:2" x14ac:dyDescent="0.25">
      <c r="B121" s="3" t="s">
        <v>101</v>
      </c>
    </row>
    <row r="122" ht="15" customHeight="1" spans="2:2" x14ac:dyDescent="0.25">
      <c r="B122" s="3" t="s">
        <v>102</v>
      </c>
    </row>
    <row r="123" ht="15" customHeight="1" spans="2:2" x14ac:dyDescent="0.25">
      <c r="B123" s="3" t="s">
        <v>103</v>
      </c>
    </row>
    <row r="124" ht="65" customHeight="1" spans="2:2" x14ac:dyDescent="0.25">
      <c r="B124" s="3" t="s">
        <v>104</v>
      </c>
    </row>
    <row r="125" ht="6" customHeight="1" x14ac:dyDescent="0.25"/>
    <row r="126" ht="20" customHeight="1" spans="2:2" x14ac:dyDescent="0.25">
      <c r="B126" s="9" t="s">
        <v>105</v>
      </c>
    </row>
    <row r="127" ht="65" customHeight="1" spans="2:2" x14ac:dyDescent="0.25">
      <c r="B127" s="3" t="s">
        <v>106</v>
      </c>
    </row>
    <row r="128" ht="6" customHeight="1" x14ac:dyDescent="0.25"/>
    <row r="129" ht="20" customHeight="1" spans="2:2" x14ac:dyDescent="0.25">
      <c r="B129" s="9" t="s">
        <v>107</v>
      </c>
    </row>
    <row r="130" ht="78" customHeight="1" spans="2:2" x14ac:dyDescent="0.25">
      <c r="B130" s="3" t="s">
        <v>108</v>
      </c>
    </row>
    <row r="131" ht="52" customHeight="1" spans="2:2" x14ac:dyDescent="0.25">
      <c r="B131" s="3" t="s">
        <v>109</v>
      </c>
    </row>
    <row r="132" ht="91" customHeight="1" spans="2:2" x14ac:dyDescent="0.25">
      <c r="B132" s="3" t="s">
        <v>110</v>
      </c>
    </row>
    <row r="133" ht="65" customHeight="1" spans="2:2" x14ac:dyDescent="0.25">
      <c r="B133" s="3" t="s">
        <v>111</v>
      </c>
    </row>
    <row r="134" ht="6" customHeight="1" x14ac:dyDescent="0.25"/>
    <row r="135" ht="20" customHeight="1" spans="2:2" x14ac:dyDescent="0.25">
      <c r="B135" s="9" t="s">
        <v>112</v>
      </c>
    </row>
    <row r="136" ht="78" customHeight="1" spans="2:2" x14ac:dyDescent="0.25">
      <c r="B136" s="3" t="s">
        <v>113</v>
      </c>
    </row>
    <row r="137" ht="65" customHeight="1" spans="2:2" x14ac:dyDescent="0.25">
      <c r="B137" s="3" t="s">
        <v>114</v>
      </c>
    </row>
  </sheetData>
  <hyperlinks>
    <hyperlink ref="B9"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workbookViewId="0">
      <pane xSplit="1" ySplit="14" topLeftCell="B15" activePane="bottomRight" state="frozen"/>
      <selection pane="bottomRight"/>
    </sheetView>
  </sheetViews>
  <sheetFormatPr defaultRowHeight="15" outlineLevelRow="0" outlineLevelCol="0" x14ac:dyDescent="55"/>
  <cols>
    <col min="1" max="1" width="40" customWidth="1"/>
    <col min="2" max="2" width="12" customWidth="1"/>
    <col min="3" max="3" width="8" customWidth="1"/>
    <col min="4" max="4" width="12" customWidth="1"/>
    <col min="5" max="6" width="13" customWidth="1"/>
    <col min="7" max="7" width="14" customWidth="1"/>
    <col min="8" max="8" width="16" customWidth="1"/>
    <col min="9" max="9" width="14" customWidth="1"/>
    <col min="10" max="10" width="16" customWidth="1"/>
    <col min="11" max="11" width="20" customWidth="1"/>
    <col min="12" max="12" width="16" customWidth="1"/>
    <col min="13" max="13" width="18" customWidth="1"/>
    <col min="14" max="14" width="16" customWidth="1"/>
    <col min="15" max="15" width="18" customWidth="1"/>
    <col min="16" max="16" width="16" customWidth="1"/>
    <col min="17" max="17" width="24" customWidth="1"/>
    <col min="18" max="18" width="22" customWidth="1"/>
  </cols>
  <sheetData>
    <row r="1" ht="22" customHeight="1" spans="1:17" x14ac:dyDescent="0.25">
      <c r="A1" s="11" t="s">
        <v>115</v>
      </c>
      <c r="B1" s="11"/>
      <c r="C1" s="11"/>
      <c r="D1" s="11"/>
      <c r="E1" s="11"/>
      <c r="F1" s="11"/>
      <c r="G1" s="11"/>
      <c r="H1" s="11"/>
      <c r="I1" s="11"/>
      <c r="J1" s="11"/>
      <c r="K1" s="11"/>
      <c r="L1" s="11"/>
      <c r="M1" s="11"/>
      <c r="N1" s="11"/>
      <c r="O1" s="11"/>
      <c r="P1" s="11"/>
      <c r="Q1" s="11"/>
    </row>
    <row r="2" spans="1:1" x14ac:dyDescent="0.25">
      <c r="A2" s="12" t="s">
        <v>116</v>
      </c>
    </row>
    <row r="3" spans="1:5" x14ac:dyDescent="0.25">
      <c r="A3" s="13" t="s">
        <v>117</v>
      </c>
      <c r="B3" s="14" t="s">
        <v>118</v>
      </c>
      <c r="C3" s="15" t="s">
        <v>119</v>
      </c>
      <c r="D3" s="13" t="s">
        <v>120</v>
      </c>
      <c r="E3" s="16">
        <v>13</v>
      </c>
    </row>
    <row r="4" spans="1:5" x14ac:dyDescent="0.25">
      <c r="A4" s="13" t="s">
        <v>121</v>
      </c>
      <c r="B4" s="17">
        <v>10</v>
      </c>
      <c r="C4" s="15" t="s">
        <v>122</v>
      </c>
      <c r="D4" s="13" t="s">
        <v>123</v>
      </c>
      <c r="E4" s="14" t="s">
        <v>124</v>
      </c>
    </row>
    <row r="5" spans="1:5" x14ac:dyDescent="0.25">
      <c r="A5" s="13" t="s">
        <v>125</v>
      </c>
      <c r="B5" s="17">
        <v>20</v>
      </c>
      <c r="C5" s="15" t="s">
        <v>126</v>
      </c>
      <c r="D5" s="13" t="s">
        <v>127</v>
      </c>
      <c r="E5" s="16">
        <v>52</v>
      </c>
    </row>
    <row r="6" ht="46" customHeight="1" spans="1:5" x14ac:dyDescent="0.25">
      <c r="A6" s="13" t="s">
        <v>128</v>
      </c>
      <c r="B6" s="17">
        <v>80</v>
      </c>
      <c r="C6" s="15" t="s">
        <v>129</v>
      </c>
      <c r="D6" s="18" t="s">
        <v>130</v>
      </c>
      <c r="E6" s="18"/>
    </row>
    <row r="7" ht="30" customHeight="1" spans="1:5" x14ac:dyDescent="0.25">
      <c r="A7" s="13" t="s">
        <v>131</v>
      </c>
      <c r="B7" s="16">
        <v>1</v>
      </c>
      <c r="C7" s="15" t="s">
        <v>132</v>
      </c>
      <c r="D7" s="15" t="s">
        <v>133</v>
      </c>
      <c r="E7" s="15"/>
    </row>
    <row r="8" spans="1:5" x14ac:dyDescent="0.25">
      <c r="A8" s="13" t="s">
        <v>134</v>
      </c>
      <c r="B8" s="16">
        <v>365</v>
      </c>
      <c r="C8" s="15" t="s">
        <v>135</v>
      </c>
      <c r="D8" s="13" t="s">
        <v>136</v>
      </c>
      <c r="E8" s="14" t="s">
        <v>137</v>
      </c>
    </row>
    <row r="9" spans="1:5" x14ac:dyDescent="0.25">
      <c r="A9" s="13" t="s">
        <v>138</v>
      </c>
      <c r="B9" s="17">
        <v>0</v>
      </c>
      <c r="C9" s="15" t="s">
        <v>139</v>
      </c>
      <c r="D9" s="13" t="s">
        <v>140</v>
      </c>
      <c r="E9" s="14" t="s">
        <v>141</v>
      </c>
    </row>
    <row r="10" spans="1:3" x14ac:dyDescent="0.25">
      <c r="A10" s="13" t="s">
        <v>142</v>
      </c>
      <c r="B10" s="19">
        <v>0</v>
      </c>
      <c r="C10" s="15" t="s">
        <v>143</v>
      </c>
    </row>
    <row r="11" ht="28" customHeight="1" spans="1:3" x14ac:dyDescent="0.25">
      <c r="A11" s="20" t="s">
        <v>4</v>
      </c>
      <c r="B11" s="20"/>
      <c r="C11" s="20"/>
    </row>
    <row r="12" ht="150" customHeight="1" spans="1:17" x14ac:dyDescent="0.25">
      <c r="A12" s="21" t="s">
        <v>144</v>
      </c>
      <c r="B12" s="21"/>
      <c r="C12" s="21"/>
      <c r="D12" s="21"/>
      <c r="E12" s="21"/>
      <c r="F12" s="21"/>
      <c r="G12" s="21"/>
      <c r="H12" s="21"/>
      <c r="I12" s="21"/>
      <c r="J12" s="21"/>
      <c r="K12" s="21"/>
      <c r="L12" s="21"/>
      <c r="M12" s="21"/>
      <c r="N12" s="21"/>
      <c r="O12" s="21"/>
      <c r="P12" s="21"/>
      <c r="Q12" s="21"/>
    </row>
    <row r="14" ht="58" customHeight="1" spans="1:18" x14ac:dyDescent="0.25">
      <c r="A14" s="22" t="s">
        <v>145</v>
      </c>
      <c r="B14" s="22" t="s">
        <v>146</v>
      </c>
      <c r="C14" s="22" t="s">
        <v>147</v>
      </c>
      <c r="D14" s="22" t="s">
        <v>148</v>
      </c>
      <c r="E14" s="22" t="s">
        <v>149</v>
      </c>
      <c r="F14" s="22" t="s">
        <v>150</v>
      </c>
      <c r="G14" s="22" t="s">
        <v>151</v>
      </c>
      <c r="H14" s="22" t="s">
        <v>152</v>
      </c>
      <c r="I14" s="22" t="s">
        <v>153</v>
      </c>
      <c r="J14" s="22" t="s">
        <v>154</v>
      </c>
      <c r="K14" s="22" t="s">
        <v>155</v>
      </c>
      <c r="L14" s="22" t="s">
        <v>156</v>
      </c>
      <c r="M14" s="22" t="s">
        <v>157</v>
      </c>
      <c r="N14" s="22" t="s">
        <v>158</v>
      </c>
      <c r="O14" s="22" t="s">
        <v>159</v>
      </c>
      <c r="P14" s="22" t="s">
        <v>160</v>
      </c>
      <c r="Q14" s="22" t="s">
        <v>161</v>
      </c>
      <c r="R14" s="22" t="s">
        <v>162</v>
      </c>
    </row>
    <row r="15" ht="28" customHeight="1" spans="1:18" x14ac:dyDescent="0.25">
      <c r="A15" s="23" t="s">
        <v>163</v>
      </c>
      <c r="B15" s="24">
        <v>500</v>
      </c>
      <c r="C15" s="25" t="s">
        <v>164</v>
      </c>
      <c r="D15" s="26">
        <f>IF(B15="","",B15*IF(C15="GB",0.001,IF(C15="PB",1000,1)))</f>
      </c>
      <c r="E15" s="27">
        <v>1</v>
      </c>
      <c r="F15" s="27">
        <v>1</v>
      </c>
      <c r="G15" s="28">
        <v>3</v>
      </c>
      <c r="H15" s="29">
        <v>32</v>
      </c>
      <c r="I15" s="28">
        <v>25</v>
      </c>
      <c r="J15" s="25" t="s">
        <v>165</v>
      </c>
      <c r="K15" s="26">
        <f>IF(D15="","",D15/(IF(E15&gt;0,E15,1)*IF(F15&gt;0,F15,1)))</f>
      </c>
      <c r="L15" s="26">
        <f>IF(D15="","",K15*(G15/100))</f>
      </c>
      <c r="M15" s="26">
        <f>IF(D15="","",K15*(1+I15/100)^($B$8/365))</f>
      </c>
      <c r="N15" s="26">
        <f>IF(D15="","",H15*L15*IF($B$3="C",(1-MAX(0,MIN(30,$B$9))/100),1))</f>
      </c>
      <c r="O15" s="26">
        <f>IF(D15="","",M15+N15)</f>
      </c>
      <c r="P15" s="26">
        <f>IF(D15="","",IF($B$3="A",O15*(1+$B$4/100)*(1+$B$5/100)/($B$6/100),IF($B$3="B",((1-'CVO Cost (Option B)'!$B$9/100)*O15*(1+$B$5/100)/($B$6/100)+('CVO Cost (Option B)'!$B$9/100)*O15),O15))*$B$7)</f>
      </c>
      <c r="Q15" s="26">
        <f>IF(OR(D15="",$B$3&lt;&gt;"B"),"",((L15*250000*$B$7)/1000)*0.0054*365+((O15*250000*$B$7)/1000)*0.0104*$E$3+IF($E$4="Yes",((O15*250000*$B$7)/1000)*0.005*$E$5,0))</f>
      </c>
      <c r="R15" s="26">
        <f>IF(D15="","",IF($B$10&gt;0,IF($B$3="A",P15*$B$10,IF($B$3="C",(M15+MAX(H15,IF($E$8="Hot",0,IF($E$8="Cold",90,30)))*L15)*$B$7*$B$10*12*IF($E$9="ZRS",1.25,IF($E$9="GRS",2,1)),P15*$B$10*12)),IF($B$3="C",(M15+MAX(H15,IF($E$8="Hot",0,IF($E$8="Cold",90,30)))*L15)*$B$7*IF($E$8="Hot",18.4,IF($E$8="Cold",4.5,10.5))*IF($E$9="ZRS",1.25,IF($E$9="GRS",2,1))*12,"")))</f>
      </c>
    </row>
    <row r="16" ht="28" customHeight="1" spans="1:18" x14ac:dyDescent="0.25">
      <c r="A16" s="23"/>
      <c r="B16" s="24"/>
      <c r="C16" s="25"/>
      <c r="D16" s="26">
        <f>IF(B16="","",B16*IF(C16="GB",0.001,IF(C16="PB",1000,1)))</f>
      </c>
      <c r="E16" s="27"/>
      <c r="F16" s="27"/>
      <c r="G16" s="28"/>
      <c r="H16" s="29"/>
      <c r="I16" s="28"/>
      <c r="J16" s="25"/>
      <c r="K16" s="26">
        <f>IF(D16="","",D16/(IF(E16&gt;0,E16,1)*IF(F16&gt;0,F16,1)))</f>
      </c>
      <c r="L16" s="26">
        <f>IF(D16="","",K16*(G16/100))</f>
      </c>
      <c r="M16" s="26">
        <f>IF(D16="","",K16*(1+I16/100)^($B$8/365))</f>
      </c>
      <c r="N16" s="26">
        <f>IF(D16="","",H16*L16*IF($B$3="C",(1-MAX(0,MIN(30,$B$9))/100),1))</f>
      </c>
      <c r="O16" s="26">
        <f>IF(D16="","",M16+N16)</f>
      </c>
      <c r="P16" s="26">
        <f>IF(D16="","",IF($B$3="A",O16*(1+$B$4/100)*(1+$B$5/100)/($B$6/100),IF($B$3="B",((1-'CVO Cost (Option B)'!$B$9/100)*O16*(1+$B$5/100)/($B$6/100)+('CVO Cost (Option B)'!$B$9/100)*O16),O16))*$B$7)</f>
      </c>
      <c r="Q16" s="26">
        <f>IF(OR(D16="",$B$3&lt;&gt;"B"),"",((L16*250000*$B$7)/1000)*0.0054*365+((O16*250000*$B$7)/1000)*0.0104*$E$3+IF($E$4="Yes",((O16*250000*$B$7)/1000)*0.005*$E$5,0))</f>
      </c>
      <c r="R16" s="26">
        <f>IF(D16="","",IF($B$10&gt;0,IF($B$3="A",P16*$B$10,IF($B$3="C",(M16+MAX(H16,IF($E$8="Hot",0,IF($E$8="Cold",90,30)))*L16)*$B$7*$B$10*12*IF($E$9="ZRS",1.25,IF($E$9="GRS",2,1)),P16*$B$10*12)),IF($B$3="C",(M16+MAX(H16,IF($E$8="Hot",0,IF($E$8="Cold",90,30)))*L16)*$B$7*IF($E$8="Hot",18.4,IF($E$8="Cold",4.5,10.5))*IF($E$9="ZRS",1.25,IF($E$9="GRS",2,1))*12,"")))</f>
      </c>
    </row>
    <row r="17" ht="28" customHeight="1" spans="1:18" x14ac:dyDescent="0.25">
      <c r="A17" s="23"/>
      <c r="B17" s="24"/>
      <c r="C17" s="25"/>
      <c r="D17" s="26">
        <f>IF(B17="","",B17*IF(C17="GB",0.001,IF(C17="PB",1000,1)))</f>
      </c>
      <c r="E17" s="27"/>
      <c r="F17" s="27"/>
      <c r="G17" s="28"/>
      <c r="H17" s="29"/>
      <c r="I17" s="28"/>
      <c r="J17" s="25"/>
      <c r="K17" s="26">
        <f>IF(D17="","",D17/(IF(E17&gt;0,E17,1)*IF(F17&gt;0,F17,1)))</f>
      </c>
      <c r="L17" s="26">
        <f>IF(D17="","",K17*(G17/100))</f>
      </c>
      <c r="M17" s="26">
        <f>IF(D17="","",K17*(1+I17/100)^($B$8/365))</f>
      </c>
      <c r="N17" s="26">
        <f>IF(D17="","",H17*L17*IF($B$3="C",(1-MAX(0,MIN(30,$B$9))/100),1))</f>
      </c>
      <c r="O17" s="26">
        <f>IF(D17="","",M17+N17)</f>
      </c>
      <c r="P17" s="26">
        <f>IF(D17="","",IF($B$3="A",O17*(1+$B$4/100)*(1+$B$5/100)/($B$6/100),IF($B$3="B",((1-'CVO Cost (Option B)'!$B$9/100)*O17*(1+$B$5/100)/($B$6/100)+('CVO Cost (Option B)'!$B$9/100)*O17),O17))*$B$7)</f>
      </c>
      <c r="Q17" s="26">
        <f>IF(OR(D17="",$B$3&lt;&gt;"B"),"",((L17*250000*$B$7)/1000)*0.0054*365+((O17*250000*$B$7)/1000)*0.0104*$E$3+IF($E$4="Yes",((O17*250000*$B$7)/1000)*0.005*$E$5,0))</f>
      </c>
      <c r="R17" s="26">
        <f>IF(D17="","",IF($B$10&gt;0,IF($B$3="A",P17*$B$10,IF($B$3="C",(M17+MAX(H17,IF($E$8="Hot",0,IF($E$8="Cold",90,30)))*L17)*$B$7*$B$10*12*IF($E$9="ZRS",1.25,IF($E$9="GRS",2,1)),P17*$B$10*12)),IF($B$3="C",(M17+MAX(H17,IF($E$8="Hot",0,IF($E$8="Cold",90,30)))*L17)*$B$7*IF($E$8="Hot",18.4,IF($E$8="Cold",4.5,10.5))*IF($E$9="ZRS",1.25,IF($E$9="GRS",2,1))*12,"")))</f>
      </c>
    </row>
    <row r="18" ht="28" customHeight="1" spans="1:18" x14ac:dyDescent="0.25">
      <c r="A18" s="23"/>
      <c r="B18" s="24"/>
      <c r="C18" s="25"/>
      <c r="D18" s="26">
        <f>IF(B18="","",B18*IF(C18="GB",0.001,IF(C18="PB",1000,1)))</f>
      </c>
      <c r="E18" s="27"/>
      <c r="F18" s="27"/>
      <c r="G18" s="28"/>
      <c r="H18" s="29"/>
      <c r="I18" s="28"/>
      <c r="J18" s="25"/>
      <c r="K18" s="26">
        <f>IF(D18="","",D18/(IF(E18&gt;0,E18,1)*IF(F18&gt;0,F18,1)))</f>
      </c>
      <c r="L18" s="26">
        <f>IF(D18="","",K18*(G18/100))</f>
      </c>
      <c r="M18" s="26">
        <f>IF(D18="","",K18*(1+I18/100)^($B$8/365))</f>
      </c>
      <c r="N18" s="26">
        <f>IF(D18="","",H18*L18*IF($B$3="C",(1-MAX(0,MIN(30,$B$9))/100),1))</f>
      </c>
      <c r="O18" s="26">
        <f>IF(D18="","",M18+N18)</f>
      </c>
      <c r="P18" s="26">
        <f>IF(D18="","",IF($B$3="A",O18*(1+$B$4/100)*(1+$B$5/100)/($B$6/100),IF($B$3="B",((1-'CVO Cost (Option B)'!$B$9/100)*O18*(1+$B$5/100)/($B$6/100)+('CVO Cost (Option B)'!$B$9/100)*O18),O18))*$B$7)</f>
      </c>
      <c r="Q18" s="26">
        <f>IF(OR(D18="",$B$3&lt;&gt;"B"),"",((L18*250000*$B$7)/1000)*0.0054*365+((O18*250000*$B$7)/1000)*0.0104*$E$3+IF($E$4="Yes",((O18*250000*$B$7)/1000)*0.005*$E$5,0))</f>
      </c>
      <c r="R18" s="26">
        <f>IF(D18="","",IF($B$10&gt;0,IF($B$3="A",P18*$B$10,IF($B$3="C",(M18+MAX(H18,IF($E$8="Hot",0,IF($E$8="Cold",90,30)))*L18)*$B$7*$B$10*12*IF($E$9="ZRS",1.25,IF($E$9="GRS",2,1)),P18*$B$10*12)),IF($B$3="C",(M18+MAX(H18,IF($E$8="Hot",0,IF($E$8="Cold",90,30)))*L18)*$B$7*IF($E$8="Hot",18.4,IF($E$8="Cold",4.5,10.5))*IF($E$9="ZRS",1.25,IF($E$9="GRS",2,1))*12,"")))</f>
      </c>
    </row>
    <row r="19" ht="28" customHeight="1" spans="1:18" x14ac:dyDescent="0.25">
      <c r="A19" s="23"/>
      <c r="B19" s="24"/>
      <c r="C19" s="25"/>
      <c r="D19" s="26">
        <f>IF(B19="","",B19*IF(C19="GB",0.001,IF(C19="PB",1000,1)))</f>
      </c>
      <c r="E19" s="27"/>
      <c r="F19" s="27"/>
      <c r="G19" s="28"/>
      <c r="H19" s="29"/>
      <c r="I19" s="28"/>
      <c r="J19" s="25"/>
      <c r="K19" s="26">
        <f>IF(D19="","",D19/(IF(E19&gt;0,E19,1)*IF(F19&gt;0,F19,1)))</f>
      </c>
      <c r="L19" s="26">
        <f>IF(D19="","",K19*(G19/100))</f>
      </c>
      <c r="M19" s="26">
        <f>IF(D19="","",K19*(1+I19/100)^($B$8/365))</f>
      </c>
      <c r="N19" s="26">
        <f>IF(D19="","",H19*L19*IF($B$3="C",(1-MAX(0,MIN(30,$B$9))/100),1))</f>
      </c>
      <c r="O19" s="26">
        <f>IF(D19="","",M19+N19)</f>
      </c>
      <c r="P19" s="26">
        <f>IF(D19="","",IF($B$3="A",O19*(1+$B$4/100)*(1+$B$5/100)/($B$6/100),IF($B$3="B",((1-'CVO Cost (Option B)'!$B$9/100)*O19*(1+$B$5/100)/($B$6/100)+('CVO Cost (Option B)'!$B$9/100)*O19),O19))*$B$7)</f>
      </c>
      <c r="Q19" s="26">
        <f>IF(OR(D19="",$B$3&lt;&gt;"B"),"",((L19*250000*$B$7)/1000)*0.0054*365+((O19*250000*$B$7)/1000)*0.0104*$E$3+IF($E$4="Yes",((O19*250000*$B$7)/1000)*0.005*$E$5,0))</f>
      </c>
      <c r="R19" s="26">
        <f>IF(D19="","",IF($B$10&gt;0,IF($B$3="A",P19*$B$10,IF($B$3="C",(M19+MAX(H19,IF($E$8="Hot",0,IF($E$8="Cold",90,30)))*L19)*$B$7*$B$10*12*IF($E$9="ZRS",1.25,IF($E$9="GRS",2,1)),P19*$B$10*12)),IF($B$3="C",(M19+MAX(H19,IF($E$8="Hot",0,IF($E$8="Cold",90,30)))*L19)*$B$7*IF($E$8="Hot",18.4,IF($E$8="Cold",4.5,10.5))*IF($E$9="ZRS",1.25,IF($E$9="GRS",2,1))*12,"")))</f>
      </c>
    </row>
    <row r="20" ht="28" customHeight="1" spans="1:18" x14ac:dyDescent="0.25">
      <c r="A20" s="23"/>
      <c r="B20" s="24"/>
      <c r="C20" s="25"/>
      <c r="D20" s="26">
        <f>IF(B20="","",B20*IF(C20="GB",0.001,IF(C20="PB",1000,1)))</f>
      </c>
      <c r="E20" s="27"/>
      <c r="F20" s="27"/>
      <c r="G20" s="28"/>
      <c r="H20" s="29"/>
      <c r="I20" s="28"/>
      <c r="J20" s="25"/>
      <c r="K20" s="26">
        <f>IF(D20="","",D20/(IF(E20&gt;0,E20,1)*IF(F20&gt;0,F20,1)))</f>
      </c>
      <c r="L20" s="26">
        <f>IF(D20="","",K20*(G20/100))</f>
      </c>
      <c r="M20" s="26">
        <f>IF(D20="","",K20*(1+I20/100)^($B$8/365))</f>
      </c>
      <c r="N20" s="26">
        <f>IF(D20="","",H20*L20*IF($B$3="C",(1-MAX(0,MIN(30,$B$9))/100),1))</f>
      </c>
      <c r="O20" s="26">
        <f>IF(D20="","",M20+N20)</f>
      </c>
      <c r="P20" s="26">
        <f>IF(D20="","",IF($B$3="A",O20*(1+$B$4/100)*(1+$B$5/100)/($B$6/100),IF($B$3="B",((1-'CVO Cost (Option B)'!$B$9/100)*O20*(1+$B$5/100)/($B$6/100)+('CVO Cost (Option B)'!$B$9/100)*O20),O20))*$B$7)</f>
      </c>
      <c r="Q20" s="26">
        <f>IF(OR(D20="",$B$3&lt;&gt;"B"),"",((L20*250000*$B$7)/1000)*0.0054*365+((O20*250000*$B$7)/1000)*0.0104*$E$3+IF($E$4="Yes",((O20*250000*$B$7)/1000)*0.005*$E$5,0))</f>
      </c>
      <c r="R20" s="26">
        <f>IF(D20="","",IF($B$10&gt;0,IF($B$3="A",P20*$B$10,IF($B$3="C",(M20+MAX(H20,IF($E$8="Hot",0,IF($E$8="Cold",90,30)))*L20)*$B$7*$B$10*12*IF($E$9="ZRS",1.25,IF($E$9="GRS",2,1)),P20*$B$10*12)),IF($B$3="C",(M20+MAX(H20,IF($E$8="Hot",0,IF($E$8="Cold",90,30)))*L20)*$B$7*IF($E$8="Hot",18.4,IF($E$8="Cold",4.5,10.5))*IF($E$9="ZRS",1.25,IF($E$9="GRS",2,1))*12,"")))</f>
      </c>
    </row>
    <row r="21" ht="28" customHeight="1" spans="1:18" x14ac:dyDescent="0.25">
      <c r="A21" s="23"/>
      <c r="B21" s="24"/>
      <c r="C21" s="25"/>
      <c r="D21" s="26">
        <f>IF(B21="","",B21*IF(C21="GB",0.001,IF(C21="PB",1000,1)))</f>
      </c>
      <c r="E21" s="27"/>
      <c r="F21" s="27"/>
      <c r="G21" s="28"/>
      <c r="H21" s="29"/>
      <c r="I21" s="28"/>
      <c r="J21" s="25"/>
      <c r="K21" s="26">
        <f>IF(D21="","",D21/(IF(E21&gt;0,E21,1)*IF(F21&gt;0,F21,1)))</f>
      </c>
      <c r="L21" s="26">
        <f>IF(D21="","",K21*(G21/100))</f>
      </c>
      <c r="M21" s="26">
        <f>IF(D21="","",K21*(1+I21/100)^($B$8/365))</f>
      </c>
      <c r="N21" s="26">
        <f>IF(D21="","",H21*L21*IF($B$3="C",(1-MAX(0,MIN(30,$B$9))/100),1))</f>
      </c>
      <c r="O21" s="26">
        <f>IF(D21="","",M21+N21)</f>
      </c>
      <c r="P21" s="26">
        <f>IF(D21="","",IF($B$3="A",O21*(1+$B$4/100)*(1+$B$5/100)/($B$6/100),IF($B$3="B",((1-'CVO Cost (Option B)'!$B$9/100)*O21*(1+$B$5/100)/($B$6/100)+('CVO Cost (Option B)'!$B$9/100)*O21),O21))*$B$7)</f>
      </c>
      <c r="Q21" s="26">
        <f>IF(OR(D21="",$B$3&lt;&gt;"B"),"",((L21*250000*$B$7)/1000)*0.0054*365+((O21*250000*$B$7)/1000)*0.0104*$E$3+IF($E$4="Yes",((O21*250000*$B$7)/1000)*0.005*$E$5,0))</f>
      </c>
      <c r="R21" s="26">
        <f>IF(D21="","",IF($B$10&gt;0,IF($B$3="A",P21*$B$10,IF($B$3="C",(M21+MAX(H21,IF($E$8="Hot",0,IF($E$8="Cold",90,30)))*L21)*$B$7*$B$10*12*IF($E$9="ZRS",1.25,IF($E$9="GRS",2,1)),P21*$B$10*12)),IF($B$3="C",(M21+MAX(H21,IF($E$8="Hot",0,IF($E$8="Cold",90,30)))*L21)*$B$7*IF($E$8="Hot",18.4,IF($E$8="Cold",4.5,10.5))*IF($E$9="ZRS",1.25,IF($E$9="GRS",2,1))*12,"")))</f>
      </c>
    </row>
    <row r="22" ht="28" customHeight="1" spans="1:18" x14ac:dyDescent="0.25">
      <c r="A22" s="23"/>
      <c r="B22" s="24"/>
      <c r="C22" s="25"/>
      <c r="D22" s="26">
        <f>IF(B22="","",B22*IF(C22="GB",0.001,IF(C22="PB",1000,1)))</f>
      </c>
      <c r="E22" s="27"/>
      <c r="F22" s="27"/>
      <c r="G22" s="28"/>
      <c r="H22" s="29"/>
      <c r="I22" s="28"/>
      <c r="J22" s="25"/>
      <c r="K22" s="26">
        <f>IF(D22="","",D22/(IF(E22&gt;0,E22,1)*IF(F22&gt;0,F22,1)))</f>
      </c>
      <c r="L22" s="26">
        <f>IF(D22="","",K22*(G22/100))</f>
      </c>
      <c r="M22" s="26">
        <f>IF(D22="","",K22*(1+I22/100)^($B$8/365))</f>
      </c>
      <c r="N22" s="26">
        <f>IF(D22="","",H22*L22*IF($B$3="C",(1-MAX(0,MIN(30,$B$9))/100),1))</f>
      </c>
      <c r="O22" s="26">
        <f>IF(D22="","",M22+N22)</f>
      </c>
      <c r="P22" s="26">
        <f>IF(D22="","",IF($B$3="A",O22*(1+$B$4/100)*(1+$B$5/100)/($B$6/100),IF($B$3="B",((1-'CVO Cost (Option B)'!$B$9/100)*O22*(1+$B$5/100)/($B$6/100)+('CVO Cost (Option B)'!$B$9/100)*O22),O22))*$B$7)</f>
      </c>
      <c r="Q22" s="26">
        <f>IF(OR(D22="",$B$3&lt;&gt;"B"),"",((L22*250000*$B$7)/1000)*0.0054*365+((O22*250000*$B$7)/1000)*0.0104*$E$3+IF($E$4="Yes",((O22*250000*$B$7)/1000)*0.005*$E$5,0))</f>
      </c>
      <c r="R22" s="26">
        <f>IF(D22="","",IF($B$10&gt;0,IF($B$3="A",P22*$B$10,IF($B$3="C",(M22+MAX(H22,IF($E$8="Hot",0,IF($E$8="Cold",90,30)))*L22)*$B$7*$B$10*12*IF($E$9="ZRS",1.25,IF($E$9="GRS",2,1)),P22*$B$10*12)),IF($B$3="C",(M22+MAX(H22,IF($E$8="Hot",0,IF($E$8="Cold",90,30)))*L22)*$B$7*IF($E$8="Hot",18.4,IF($E$8="Cold",4.5,10.5))*IF($E$9="ZRS",1.25,IF($E$9="GRS",2,1))*12,"")))</f>
      </c>
    </row>
    <row r="23" ht="28" customHeight="1" spans="1:18" x14ac:dyDescent="0.25">
      <c r="A23" s="23"/>
      <c r="B23" s="24"/>
      <c r="C23" s="25"/>
      <c r="D23" s="26">
        <f>IF(B23="","",B23*IF(C23="GB",0.001,IF(C23="PB",1000,1)))</f>
      </c>
      <c r="E23" s="27"/>
      <c r="F23" s="27"/>
      <c r="G23" s="28"/>
      <c r="H23" s="29"/>
      <c r="I23" s="28"/>
      <c r="J23" s="25"/>
      <c r="K23" s="26">
        <f>IF(D23="","",D23/(IF(E23&gt;0,E23,1)*IF(F23&gt;0,F23,1)))</f>
      </c>
      <c r="L23" s="26">
        <f>IF(D23="","",K23*(G23/100))</f>
      </c>
      <c r="M23" s="26">
        <f>IF(D23="","",K23*(1+I23/100)^($B$8/365))</f>
      </c>
      <c r="N23" s="26">
        <f>IF(D23="","",H23*L23*IF($B$3="C",(1-MAX(0,MIN(30,$B$9))/100),1))</f>
      </c>
      <c r="O23" s="26">
        <f>IF(D23="","",M23+N23)</f>
      </c>
      <c r="P23" s="26">
        <f>IF(D23="","",IF($B$3="A",O23*(1+$B$4/100)*(1+$B$5/100)/($B$6/100),IF($B$3="B",((1-'CVO Cost (Option B)'!$B$9/100)*O23*(1+$B$5/100)/($B$6/100)+('CVO Cost (Option B)'!$B$9/100)*O23),O23))*$B$7)</f>
      </c>
      <c r="Q23" s="26">
        <f>IF(OR(D23="",$B$3&lt;&gt;"B"),"",((L23*250000*$B$7)/1000)*0.0054*365+((O23*250000*$B$7)/1000)*0.0104*$E$3+IF($E$4="Yes",((O23*250000*$B$7)/1000)*0.005*$E$5,0))</f>
      </c>
      <c r="R23" s="26">
        <f>IF(D23="","",IF($B$10&gt;0,IF($B$3="A",P23*$B$10,IF($B$3="C",(M23+MAX(H23,IF($E$8="Hot",0,IF($E$8="Cold",90,30)))*L23)*$B$7*$B$10*12*IF($E$9="ZRS",1.25,IF($E$9="GRS",2,1)),P23*$B$10*12)),IF($B$3="C",(M23+MAX(H23,IF($E$8="Hot",0,IF($E$8="Cold",90,30)))*L23)*$B$7*IF($E$8="Hot",18.4,IF($E$8="Cold",4.5,10.5))*IF($E$9="ZRS",1.25,IF($E$9="GRS",2,1))*12,"")))</f>
      </c>
    </row>
    <row r="24" ht="28" customHeight="1" spans="1:18" x14ac:dyDescent="0.25">
      <c r="A24" s="23"/>
      <c r="B24" s="24"/>
      <c r="C24" s="25"/>
      <c r="D24" s="26">
        <f>IF(B24="","",B24*IF(C24="GB",0.001,IF(C24="PB",1000,1)))</f>
      </c>
      <c r="E24" s="27"/>
      <c r="F24" s="27"/>
      <c r="G24" s="28"/>
      <c r="H24" s="29"/>
      <c r="I24" s="28"/>
      <c r="J24" s="25"/>
      <c r="K24" s="26">
        <f>IF(D24="","",D24/(IF(E24&gt;0,E24,1)*IF(F24&gt;0,F24,1)))</f>
      </c>
      <c r="L24" s="26">
        <f>IF(D24="","",K24*(G24/100))</f>
      </c>
      <c r="M24" s="26">
        <f>IF(D24="","",K24*(1+I24/100)^($B$8/365))</f>
      </c>
      <c r="N24" s="26">
        <f>IF(D24="","",H24*L24*IF($B$3="C",(1-MAX(0,MIN(30,$B$9))/100),1))</f>
      </c>
      <c r="O24" s="26">
        <f>IF(D24="","",M24+N24)</f>
      </c>
      <c r="P24" s="26">
        <f>IF(D24="","",IF($B$3="A",O24*(1+$B$4/100)*(1+$B$5/100)/($B$6/100),IF($B$3="B",((1-'CVO Cost (Option B)'!$B$9/100)*O24*(1+$B$5/100)/($B$6/100)+('CVO Cost (Option B)'!$B$9/100)*O24),O24))*$B$7)</f>
      </c>
      <c r="Q24" s="26">
        <f>IF(OR(D24="",$B$3&lt;&gt;"B"),"",((L24*250000*$B$7)/1000)*0.0054*365+((O24*250000*$B$7)/1000)*0.0104*$E$3+IF($E$4="Yes",((O24*250000*$B$7)/1000)*0.005*$E$5,0))</f>
      </c>
      <c r="R24" s="26">
        <f>IF(D24="","",IF($B$10&gt;0,IF($B$3="A",P24*$B$10,IF($B$3="C",(M24+MAX(H24,IF($E$8="Hot",0,IF($E$8="Cold",90,30)))*L24)*$B$7*$B$10*12*IF($E$9="ZRS",1.25,IF($E$9="GRS",2,1)),P24*$B$10*12)),IF($B$3="C",(M24+MAX(H24,IF($E$8="Hot",0,IF($E$8="Cold",90,30)))*L24)*$B$7*IF($E$8="Hot",18.4,IF($E$8="Cold",4.5,10.5))*IF($E$9="ZRS",1.25,IF($E$9="GRS",2,1))*12,"")))</f>
      </c>
    </row>
    <row r="25" ht="28" customHeight="1" spans="1:18" x14ac:dyDescent="0.25">
      <c r="A25" s="23"/>
      <c r="B25" s="24"/>
      <c r="C25" s="25"/>
      <c r="D25" s="26">
        <f>IF(B25="","",B25*IF(C25="GB",0.001,IF(C25="PB",1000,1)))</f>
      </c>
      <c r="E25" s="27"/>
      <c r="F25" s="27"/>
      <c r="G25" s="28"/>
      <c r="H25" s="29"/>
      <c r="I25" s="28"/>
      <c r="J25" s="25"/>
      <c r="K25" s="26">
        <f>IF(D25="","",D25/(IF(E25&gt;0,E25,1)*IF(F25&gt;0,F25,1)))</f>
      </c>
      <c r="L25" s="26">
        <f>IF(D25="","",K25*(G25/100))</f>
      </c>
      <c r="M25" s="26">
        <f>IF(D25="","",K25*(1+I25/100)^($B$8/365))</f>
      </c>
      <c r="N25" s="26">
        <f>IF(D25="","",H25*L25*IF($B$3="C",(1-MAX(0,MIN(30,$B$9))/100),1))</f>
      </c>
      <c r="O25" s="26">
        <f>IF(D25="","",M25+N25)</f>
      </c>
      <c r="P25" s="26">
        <f>IF(D25="","",IF($B$3="A",O25*(1+$B$4/100)*(1+$B$5/100)/($B$6/100),IF($B$3="B",((1-'CVO Cost (Option B)'!$B$9/100)*O25*(1+$B$5/100)/($B$6/100)+('CVO Cost (Option B)'!$B$9/100)*O25),O25))*$B$7)</f>
      </c>
      <c r="Q25" s="26">
        <f>IF(OR(D25="",$B$3&lt;&gt;"B"),"",((L25*250000*$B$7)/1000)*0.0054*365+((O25*250000*$B$7)/1000)*0.0104*$E$3+IF($E$4="Yes",((O25*250000*$B$7)/1000)*0.005*$E$5,0))</f>
      </c>
      <c r="R25" s="26">
        <f>IF(D25="","",IF($B$10&gt;0,IF($B$3="A",P25*$B$10,IF($B$3="C",(M25+MAX(H25,IF($E$8="Hot",0,IF($E$8="Cold",90,30)))*L25)*$B$7*$B$10*12*IF($E$9="ZRS",1.25,IF($E$9="GRS",2,1)),P25*$B$10*12)),IF($B$3="C",(M25+MAX(H25,IF($E$8="Hot",0,IF($E$8="Cold",90,30)))*L25)*$B$7*IF($E$8="Hot",18.4,IF($E$8="Cold",4.5,10.5))*IF($E$9="ZRS",1.25,IF($E$9="GRS",2,1))*12,"")))</f>
      </c>
    </row>
    <row r="26" ht="28" customHeight="1" spans="1:18" x14ac:dyDescent="0.25">
      <c r="A26" s="23"/>
      <c r="B26" s="24"/>
      <c r="C26" s="25"/>
      <c r="D26" s="26">
        <f>IF(B26="","",B26*IF(C26="GB",0.001,IF(C26="PB",1000,1)))</f>
      </c>
      <c r="E26" s="27"/>
      <c r="F26" s="27"/>
      <c r="G26" s="28"/>
      <c r="H26" s="29"/>
      <c r="I26" s="28"/>
      <c r="J26" s="25"/>
      <c r="K26" s="26">
        <f>IF(D26="","",D26/(IF(E26&gt;0,E26,1)*IF(F26&gt;0,F26,1)))</f>
      </c>
      <c r="L26" s="26">
        <f>IF(D26="","",K26*(G26/100))</f>
      </c>
      <c r="M26" s="26">
        <f>IF(D26="","",K26*(1+I26/100)^($B$8/365))</f>
      </c>
      <c r="N26" s="26">
        <f>IF(D26="","",H26*L26*IF($B$3="C",(1-MAX(0,MIN(30,$B$9))/100),1))</f>
      </c>
      <c r="O26" s="26">
        <f>IF(D26="","",M26+N26)</f>
      </c>
      <c r="P26" s="26">
        <f>IF(D26="","",IF($B$3="A",O26*(1+$B$4/100)*(1+$B$5/100)/($B$6/100),IF($B$3="B",((1-'CVO Cost (Option B)'!$B$9/100)*O26*(1+$B$5/100)/($B$6/100)+('CVO Cost (Option B)'!$B$9/100)*O26),O26))*$B$7)</f>
      </c>
      <c r="Q26" s="26">
        <f>IF(OR(D26="",$B$3&lt;&gt;"B"),"",((L26*250000*$B$7)/1000)*0.0054*365+((O26*250000*$B$7)/1000)*0.0104*$E$3+IF($E$4="Yes",((O26*250000*$B$7)/1000)*0.005*$E$5,0))</f>
      </c>
      <c r="R26" s="26">
        <f>IF(D26="","",IF($B$10&gt;0,IF($B$3="A",P26*$B$10,IF($B$3="C",(M26+MAX(H26,IF($E$8="Hot",0,IF($E$8="Cold",90,30)))*L26)*$B$7*$B$10*12*IF($E$9="ZRS",1.25,IF($E$9="GRS",2,1)),P26*$B$10*12)),IF($B$3="C",(M26+MAX(H26,IF($E$8="Hot",0,IF($E$8="Cold",90,30)))*L26)*$B$7*IF($E$8="Hot",18.4,IF($E$8="Cold",4.5,10.5))*IF($E$9="ZRS",1.25,IF($E$9="GRS",2,1))*12,"")))</f>
      </c>
    </row>
    <row r="27" ht="28" customHeight="1" spans="1:18" x14ac:dyDescent="0.25">
      <c r="A27" s="23"/>
      <c r="B27" s="24"/>
      <c r="C27" s="25"/>
      <c r="D27" s="26">
        <f>IF(B27="","",B27*IF(C27="GB",0.001,IF(C27="PB",1000,1)))</f>
      </c>
      <c r="E27" s="27"/>
      <c r="F27" s="27"/>
      <c r="G27" s="28"/>
      <c r="H27" s="29"/>
      <c r="I27" s="28"/>
      <c r="J27" s="25"/>
      <c r="K27" s="26">
        <f>IF(D27="","",D27/(IF(E27&gt;0,E27,1)*IF(F27&gt;0,F27,1)))</f>
      </c>
      <c r="L27" s="26">
        <f>IF(D27="","",K27*(G27/100))</f>
      </c>
      <c r="M27" s="26">
        <f>IF(D27="","",K27*(1+I27/100)^($B$8/365))</f>
      </c>
      <c r="N27" s="26">
        <f>IF(D27="","",H27*L27*IF($B$3="C",(1-MAX(0,MIN(30,$B$9))/100),1))</f>
      </c>
      <c r="O27" s="26">
        <f>IF(D27="","",M27+N27)</f>
      </c>
      <c r="P27" s="26">
        <f>IF(D27="","",IF($B$3="A",O27*(1+$B$4/100)*(1+$B$5/100)/($B$6/100),IF($B$3="B",((1-'CVO Cost (Option B)'!$B$9/100)*O27*(1+$B$5/100)/($B$6/100)+('CVO Cost (Option B)'!$B$9/100)*O27),O27))*$B$7)</f>
      </c>
      <c r="Q27" s="26">
        <f>IF(OR(D27="",$B$3&lt;&gt;"B"),"",((L27*250000*$B$7)/1000)*0.0054*365+((O27*250000*$B$7)/1000)*0.0104*$E$3+IF($E$4="Yes",((O27*250000*$B$7)/1000)*0.005*$E$5,0))</f>
      </c>
      <c r="R27" s="26">
        <f>IF(D27="","",IF($B$10&gt;0,IF($B$3="A",P27*$B$10,IF($B$3="C",(M27+MAX(H27,IF($E$8="Hot",0,IF($E$8="Cold",90,30)))*L27)*$B$7*$B$10*12*IF($E$9="ZRS",1.25,IF($E$9="GRS",2,1)),P27*$B$10*12)),IF($B$3="C",(M27+MAX(H27,IF($E$8="Hot",0,IF($E$8="Cold",90,30)))*L27)*$B$7*IF($E$8="Hot",18.4,IF($E$8="Cold",4.5,10.5))*IF($E$9="ZRS",1.25,IF($E$9="GRS",2,1))*12,"")))</f>
      </c>
    </row>
    <row r="28" ht="28" customHeight="1" spans="1:18" x14ac:dyDescent="0.25">
      <c r="A28" s="23"/>
      <c r="B28" s="24"/>
      <c r="C28" s="25"/>
      <c r="D28" s="26">
        <f>IF(B28="","",B28*IF(C28="GB",0.001,IF(C28="PB",1000,1)))</f>
      </c>
      <c r="E28" s="27"/>
      <c r="F28" s="27"/>
      <c r="G28" s="28"/>
      <c r="H28" s="29"/>
      <c r="I28" s="28"/>
      <c r="J28" s="25"/>
      <c r="K28" s="26">
        <f>IF(D28="","",D28/(IF(E28&gt;0,E28,1)*IF(F28&gt;0,F28,1)))</f>
      </c>
      <c r="L28" s="26">
        <f>IF(D28="","",K28*(G28/100))</f>
      </c>
      <c r="M28" s="26">
        <f>IF(D28="","",K28*(1+I28/100)^($B$8/365))</f>
      </c>
      <c r="N28" s="26">
        <f>IF(D28="","",H28*L28*IF($B$3="C",(1-MAX(0,MIN(30,$B$9))/100),1))</f>
      </c>
      <c r="O28" s="26">
        <f>IF(D28="","",M28+N28)</f>
      </c>
      <c r="P28" s="26">
        <f>IF(D28="","",IF($B$3="A",O28*(1+$B$4/100)*(1+$B$5/100)/($B$6/100),IF($B$3="B",((1-'CVO Cost (Option B)'!$B$9/100)*O28*(1+$B$5/100)/($B$6/100)+('CVO Cost (Option B)'!$B$9/100)*O28),O28))*$B$7)</f>
      </c>
      <c r="Q28" s="26">
        <f>IF(OR(D28="",$B$3&lt;&gt;"B"),"",((L28*250000*$B$7)/1000)*0.0054*365+((O28*250000*$B$7)/1000)*0.0104*$E$3+IF($E$4="Yes",((O28*250000*$B$7)/1000)*0.005*$E$5,0))</f>
      </c>
      <c r="R28" s="26">
        <f>IF(D28="","",IF($B$10&gt;0,IF($B$3="A",P28*$B$10,IF($B$3="C",(M28+MAX(H28,IF($E$8="Hot",0,IF($E$8="Cold",90,30)))*L28)*$B$7*$B$10*12*IF($E$9="ZRS",1.25,IF($E$9="GRS",2,1)),P28*$B$10*12)),IF($B$3="C",(M28+MAX(H28,IF($E$8="Hot",0,IF($E$8="Cold",90,30)))*L28)*$B$7*IF($E$8="Hot",18.4,IF($E$8="Cold",4.5,10.5))*IF($E$9="ZRS",1.25,IF($E$9="GRS",2,1))*12,"")))</f>
      </c>
    </row>
    <row r="29" ht="28" customHeight="1" spans="1:18" x14ac:dyDescent="0.25">
      <c r="A29" s="23"/>
      <c r="B29" s="24"/>
      <c r="C29" s="25"/>
      <c r="D29" s="26">
        <f>IF(B29="","",B29*IF(C29="GB",0.001,IF(C29="PB",1000,1)))</f>
      </c>
      <c r="E29" s="27"/>
      <c r="F29" s="27"/>
      <c r="G29" s="28"/>
      <c r="H29" s="29"/>
      <c r="I29" s="28"/>
      <c r="J29" s="25"/>
      <c r="K29" s="26">
        <f>IF(D29="","",D29/(IF(E29&gt;0,E29,1)*IF(F29&gt;0,F29,1)))</f>
      </c>
      <c r="L29" s="26">
        <f>IF(D29="","",K29*(G29/100))</f>
      </c>
      <c r="M29" s="26">
        <f>IF(D29="","",K29*(1+I29/100)^($B$8/365))</f>
      </c>
      <c r="N29" s="26">
        <f>IF(D29="","",H29*L29*IF($B$3="C",(1-MAX(0,MIN(30,$B$9))/100),1))</f>
      </c>
      <c r="O29" s="26">
        <f>IF(D29="","",M29+N29)</f>
      </c>
      <c r="P29" s="26">
        <f>IF(D29="","",IF($B$3="A",O29*(1+$B$4/100)*(1+$B$5/100)/($B$6/100),IF($B$3="B",((1-'CVO Cost (Option B)'!$B$9/100)*O29*(1+$B$5/100)/($B$6/100)+('CVO Cost (Option B)'!$B$9/100)*O29),O29))*$B$7)</f>
      </c>
      <c r="Q29" s="26">
        <f>IF(OR(D29="",$B$3&lt;&gt;"B"),"",((L29*250000*$B$7)/1000)*0.0054*365+((O29*250000*$B$7)/1000)*0.0104*$E$3+IF($E$4="Yes",((O29*250000*$B$7)/1000)*0.005*$E$5,0))</f>
      </c>
      <c r="R29" s="26">
        <f>IF(D29="","",IF($B$10&gt;0,IF($B$3="A",P29*$B$10,IF($B$3="C",(M29+MAX(H29,IF($E$8="Hot",0,IF($E$8="Cold",90,30)))*L29)*$B$7*$B$10*12*IF($E$9="ZRS",1.25,IF($E$9="GRS",2,1)),P29*$B$10*12)),IF($B$3="C",(M29+MAX(H29,IF($E$8="Hot",0,IF($E$8="Cold",90,30)))*L29)*$B$7*IF($E$8="Hot",18.4,IF($E$8="Cold",4.5,10.5))*IF($E$9="ZRS",1.25,IF($E$9="GRS",2,1))*12,"")))</f>
      </c>
    </row>
    <row r="30" ht="28" customHeight="1" spans="1:18" x14ac:dyDescent="0.25">
      <c r="A30" s="23"/>
      <c r="B30" s="24"/>
      <c r="C30" s="25"/>
      <c r="D30" s="26">
        <f>IF(B30="","",B30*IF(C30="GB",0.001,IF(C30="PB",1000,1)))</f>
      </c>
      <c r="E30" s="27"/>
      <c r="F30" s="27"/>
      <c r="G30" s="28"/>
      <c r="H30" s="29"/>
      <c r="I30" s="28"/>
      <c r="J30" s="25"/>
      <c r="K30" s="26">
        <f>IF(D30="","",D30/(IF(E30&gt;0,E30,1)*IF(F30&gt;0,F30,1)))</f>
      </c>
      <c r="L30" s="26">
        <f>IF(D30="","",K30*(G30/100))</f>
      </c>
      <c r="M30" s="26">
        <f>IF(D30="","",K30*(1+I30/100)^($B$8/365))</f>
      </c>
      <c r="N30" s="26">
        <f>IF(D30="","",H30*L30*IF($B$3="C",(1-MAX(0,MIN(30,$B$9))/100),1))</f>
      </c>
      <c r="O30" s="26">
        <f>IF(D30="","",M30+N30)</f>
      </c>
      <c r="P30" s="26">
        <f>IF(D30="","",IF($B$3="A",O30*(1+$B$4/100)*(1+$B$5/100)/($B$6/100),IF($B$3="B",((1-'CVO Cost (Option B)'!$B$9/100)*O30*(1+$B$5/100)/($B$6/100)+('CVO Cost (Option B)'!$B$9/100)*O30),O30))*$B$7)</f>
      </c>
      <c r="Q30" s="26">
        <f>IF(OR(D30="",$B$3&lt;&gt;"B"),"",((L30*250000*$B$7)/1000)*0.0054*365+((O30*250000*$B$7)/1000)*0.0104*$E$3+IF($E$4="Yes",((O30*250000*$B$7)/1000)*0.005*$E$5,0))</f>
      </c>
      <c r="R30" s="26">
        <f>IF(D30="","",IF($B$10&gt;0,IF($B$3="A",P30*$B$10,IF($B$3="C",(M30+MAX(H30,IF($E$8="Hot",0,IF($E$8="Cold",90,30)))*L30)*$B$7*$B$10*12*IF($E$9="ZRS",1.25,IF($E$9="GRS",2,1)),P30*$B$10*12)),IF($B$3="C",(M30+MAX(H30,IF($E$8="Hot",0,IF($E$8="Cold",90,30)))*L30)*$B$7*IF($E$8="Hot",18.4,IF($E$8="Cold",4.5,10.5))*IF($E$9="ZRS",1.25,IF($E$9="GRS",2,1))*12,"")))</f>
      </c>
    </row>
    <row r="31" ht="28" customHeight="1" spans="1:18" x14ac:dyDescent="0.25">
      <c r="A31" s="23"/>
      <c r="B31" s="24"/>
      <c r="C31" s="25"/>
      <c r="D31" s="26">
        <f>IF(B31="","",B31*IF(C31="GB",0.001,IF(C31="PB",1000,1)))</f>
      </c>
      <c r="E31" s="27"/>
      <c r="F31" s="27"/>
      <c r="G31" s="28"/>
      <c r="H31" s="29"/>
      <c r="I31" s="28"/>
      <c r="J31" s="25"/>
      <c r="K31" s="26">
        <f>IF(D31="","",D31/(IF(E31&gt;0,E31,1)*IF(F31&gt;0,F31,1)))</f>
      </c>
      <c r="L31" s="26">
        <f>IF(D31="","",K31*(G31/100))</f>
      </c>
      <c r="M31" s="26">
        <f>IF(D31="","",K31*(1+I31/100)^($B$8/365))</f>
      </c>
      <c r="N31" s="26">
        <f>IF(D31="","",H31*L31*IF($B$3="C",(1-MAX(0,MIN(30,$B$9))/100),1))</f>
      </c>
      <c r="O31" s="26">
        <f>IF(D31="","",M31+N31)</f>
      </c>
      <c r="P31" s="26">
        <f>IF(D31="","",IF($B$3="A",O31*(1+$B$4/100)*(1+$B$5/100)/($B$6/100),IF($B$3="B",((1-'CVO Cost (Option B)'!$B$9/100)*O31*(1+$B$5/100)/($B$6/100)+('CVO Cost (Option B)'!$B$9/100)*O31),O31))*$B$7)</f>
      </c>
      <c r="Q31" s="26">
        <f>IF(OR(D31="",$B$3&lt;&gt;"B"),"",((L31*250000*$B$7)/1000)*0.0054*365+((O31*250000*$B$7)/1000)*0.0104*$E$3+IF($E$4="Yes",((O31*250000*$B$7)/1000)*0.005*$E$5,0))</f>
      </c>
      <c r="R31" s="26">
        <f>IF(D31="","",IF($B$10&gt;0,IF($B$3="A",P31*$B$10,IF($B$3="C",(M31+MAX(H31,IF($E$8="Hot",0,IF($E$8="Cold",90,30)))*L31)*$B$7*$B$10*12*IF($E$9="ZRS",1.25,IF($E$9="GRS",2,1)),P31*$B$10*12)),IF($B$3="C",(M31+MAX(H31,IF($E$8="Hot",0,IF($E$8="Cold",90,30)))*L31)*$B$7*IF($E$8="Hot",18.4,IF($E$8="Cold",4.5,10.5))*IF($E$9="ZRS",1.25,IF($E$9="GRS",2,1))*12,"")))</f>
      </c>
    </row>
    <row r="32" ht="28" customHeight="1" spans="1:18" x14ac:dyDescent="0.25">
      <c r="A32" s="23"/>
      <c r="B32" s="24"/>
      <c r="C32" s="25"/>
      <c r="D32" s="26">
        <f>IF(B32="","",B32*IF(C32="GB",0.001,IF(C32="PB",1000,1)))</f>
      </c>
      <c r="E32" s="27"/>
      <c r="F32" s="27"/>
      <c r="G32" s="28"/>
      <c r="H32" s="29"/>
      <c r="I32" s="28"/>
      <c r="J32" s="25"/>
      <c r="K32" s="26">
        <f>IF(D32="","",D32/(IF(E32&gt;0,E32,1)*IF(F32&gt;0,F32,1)))</f>
      </c>
      <c r="L32" s="26">
        <f>IF(D32="","",K32*(G32/100))</f>
      </c>
      <c r="M32" s="26">
        <f>IF(D32="","",K32*(1+I32/100)^($B$8/365))</f>
      </c>
      <c r="N32" s="26">
        <f>IF(D32="","",H32*L32*IF($B$3="C",(1-MAX(0,MIN(30,$B$9))/100),1))</f>
      </c>
      <c r="O32" s="26">
        <f>IF(D32="","",M32+N32)</f>
      </c>
      <c r="P32" s="26">
        <f>IF(D32="","",IF($B$3="A",O32*(1+$B$4/100)*(1+$B$5/100)/($B$6/100),IF($B$3="B",((1-'CVO Cost (Option B)'!$B$9/100)*O32*(1+$B$5/100)/($B$6/100)+('CVO Cost (Option B)'!$B$9/100)*O32),O32))*$B$7)</f>
      </c>
      <c r="Q32" s="26">
        <f>IF(OR(D32="",$B$3&lt;&gt;"B"),"",((L32*250000*$B$7)/1000)*0.0054*365+((O32*250000*$B$7)/1000)*0.0104*$E$3+IF($E$4="Yes",((O32*250000*$B$7)/1000)*0.005*$E$5,0))</f>
      </c>
      <c r="R32" s="26">
        <f>IF(D32="","",IF($B$10&gt;0,IF($B$3="A",P32*$B$10,IF($B$3="C",(M32+MAX(H32,IF($E$8="Hot",0,IF($E$8="Cold",90,30)))*L32)*$B$7*$B$10*12*IF($E$9="ZRS",1.25,IF($E$9="GRS",2,1)),P32*$B$10*12)),IF($B$3="C",(M32+MAX(H32,IF($E$8="Hot",0,IF($E$8="Cold",90,30)))*L32)*$B$7*IF($E$8="Hot",18.4,IF($E$8="Cold",4.5,10.5))*IF($E$9="ZRS",1.25,IF($E$9="GRS",2,1))*12,"")))</f>
      </c>
    </row>
    <row r="33" ht="28" customHeight="1" spans="1:18" x14ac:dyDescent="0.25">
      <c r="A33" s="23"/>
      <c r="B33" s="24"/>
      <c r="C33" s="25"/>
      <c r="D33" s="26">
        <f>IF(B33="","",B33*IF(C33="GB",0.001,IF(C33="PB",1000,1)))</f>
      </c>
      <c r="E33" s="27"/>
      <c r="F33" s="27"/>
      <c r="G33" s="28"/>
      <c r="H33" s="29"/>
      <c r="I33" s="28"/>
      <c r="J33" s="25"/>
      <c r="K33" s="26">
        <f>IF(D33="","",D33/(IF(E33&gt;0,E33,1)*IF(F33&gt;0,F33,1)))</f>
      </c>
      <c r="L33" s="26">
        <f>IF(D33="","",K33*(G33/100))</f>
      </c>
      <c r="M33" s="26">
        <f>IF(D33="","",K33*(1+I33/100)^($B$8/365))</f>
      </c>
      <c r="N33" s="26">
        <f>IF(D33="","",H33*L33*IF($B$3="C",(1-MAX(0,MIN(30,$B$9))/100),1))</f>
      </c>
      <c r="O33" s="26">
        <f>IF(D33="","",M33+N33)</f>
      </c>
      <c r="P33" s="26">
        <f>IF(D33="","",IF($B$3="A",O33*(1+$B$4/100)*(1+$B$5/100)/($B$6/100),IF($B$3="B",((1-'CVO Cost (Option B)'!$B$9/100)*O33*(1+$B$5/100)/($B$6/100)+('CVO Cost (Option B)'!$B$9/100)*O33),O33))*$B$7)</f>
      </c>
      <c r="Q33" s="26">
        <f>IF(OR(D33="",$B$3&lt;&gt;"B"),"",((L33*250000*$B$7)/1000)*0.0054*365+((O33*250000*$B$7)/1000)*0.0104*$E$3+IF($E$4="Yes",((O33*250000*$B$7)/1000)*0.005*$E$5,0))</f>
      </c>
      <c r="R33" s="26">
        <f>IF(D33="","",IF($B$10&gt;0,IF($B$3="A",P33*$B$10,IF($B$3="C",(M33+MAX(H33,IF($E$8="Hot",0,IF($E$8="Cold",90,30)))*L33)*$B$7*$B$10*12*IF($E$9="ZRS",1.25,IF($E$9="GRS",2,1)),P33*$B$10*12)),IF($B$3="C",(M33+MAX(H33,IF($E$8="Hot",0,IF($E$8="Cold",90,30)))*L33)*$B$7*IF($E$8="Hot",18.4,IF($E$8="Cold",4.5,10.5))*IF($E$9="ZRS",1.25,IF($E$9="GRS",2,1))*12,"")))</f>
      </c>
    </row>
    <row r="34" ht="28" customHeight="1" spans="1:18" x14ac:dyDescent="0.25">
      <c r="A34" s="23"/>
      <c r="B34" s="24"/>
      <c r="C34" s="25"/>
      <c r="D34" s="26">
        <f>IF(B34="","",B34*IF(C34="GB",0.001,IF(C34="PB",1000,1)))</f>
      </c>
      <c r="E34" s="27"/>
      <c r="F34" s="27"/>
      <c r="G34" s="28"/>
      <c r="H34" s="29"/>
      <c r="I34" s="28"/>
      <c r="J34" s="25"/>
      <c r="K34" s="26">
        <f>IF(D34="","",D34/(IF(E34&gt;0,E34,1)*IF(F34&gt;0,F34,1)))</f>
      </c>
      <c r="L34" s="26">
        <f>IF(D34="","",K34*(G34/100))</f>
      </c>
      <c r="M34" s="26">
        <f>IF(D34="","",K34*(1+I34/100)^($B$8/365))</f>
      </c>
      <c r="N34" s="26">
        <f>IF(D34="","",H34*L34*IF($B$3="C",(1-MAX(0,MIN(30,$B$9))/100),1))</f>
      </c>
      <c r="O34" s="26">
        <f>IF(D34="","",M34+N34)</f>
      </c>
      <c r="P34" s="26">
        <f>IF(D34="","",IF($B$3="A",O34*(1+$B$4/100)*(1+$B$5/100)/($B$6/100),IF($B$3="B",((1-'CVO Cost (Option B)'!$B$9/100)*O34*(1+$B$5/100)/($B$6/100)+('CVO Cost (Option B)'!$B$9/100)*O34),O34))*$B$7)</f>
      </c>
      <c r="Q34" s="26">
        <f>IF(OR(D34="",$B$3&lt;&gt;"B"),"",((L34*250000*$B$7)/1000)*0.0054*365+((O34*250000*$B$7)/1000)*0.0104*$E$3+IF($E$4="Yes",((O34*250000*$B$7)/1000)*0.005*$E$5,0))</f>
      </c>
      <c r="R34" s="26">
        <f>IF(D34="","",IF($B$10&gt;0,IF($B$3="A",P34*$B$10,IF($B$3="C",(M34+MAX(H34,IF($E$8="Hot",0,IF($E$8="Cold",90,30)))*L34)*$B$7*$B$10*12*IF($E$9="ZRS",1.25,IF($E$9="GRS",2,1)),P34*$B$10*12)),IF($B$3="C",(M34+MAX(H34,IF($E$8="Hot",0,IF($E$8="Cold",90,30)))*L34)*$B$7*IF($E$8="Hot",18.4,IF($E$8="Cold",4.5,10.5))*IF($E$9="ZRS",1.25,IF($E$9="GRS",2,1))*12,"")))</f>
      </c>
    </row>
    <row r="35" ht="20" customHeight="1" spans="1:18" x14ac:dyDescent="0.25">
      <c r="A35" s="30" t="s">
        <v>166</v>
      </c>
      <c r="B35" s="31"/>
      <c r="C35" s="31"/>
      <c r="D35" s="31"/>
      <c r="E35" s="31"/>
      <c r="F35" s="31"/>
      <c r="G35" s="31"/>
      <c r="H35" s="31"/>
      <c r="I35" s="31"/>
      <c r="J35" s="31"/>
      <c r="K35" s="32">
        <f>SUM(K15:K34)</f>
      </c>
      <c r="L35" s="32">
        <f>SUM(L15:L34)</f>
      </c>
      <c r="M35" s="32">
        <f>SUM(M15:M34)</f>
      </c>
      <c r="N35" s="32">
        <f>SUM(N15:N34)</f>
      </c>
      <c r="O35" s="32">
        <f>SUM(O15:O34)</f>
      </c>
      <c r="P35" s="32">
        <f>SUM(P15:P34)</f>
      </c>
      <c r="Q35" s="32">
        <f>SUM(Q15:Q34)</f>
      </c>
      <c r="R35" s="32">
        <f>SUM(R15:R34)</f>
      </c>
    </row>
    <row r="37" spans="1:4" x14ac:dyDescent="0.25">
      <c r="A37" s="33" t="s">
        <v>167</v>
      </c>
      <c r="B37" s="34" t="s">
        <v>168</v>
      </c>
      <c r="C37" s="35" t="s">
        <v>169</v>
      </c>
      <c r="D37" s="35"/>
    </row>
    <row r="39" ht="26" customHeight="1" spans="1:18" x14ac:dyDescent="0.25">
      <c r="A39" s="36" t="s">
        <v>170</v>
      </c>
      <c r="B39" s="36"/>
      <c r="C39" s="36"/>
      <c r="D39" s="36"/>
      <c r="E39" s="36"/>
      <c r="F39" s="36"/>
      <c r="G39" s="36"/>
      <c r="H39" s="36"/>
      <c r="I39" s="36"/>
      <c r="J39" s="36"/>
      <c r="K39" s="36"/>
      <c r="L39" s="36"/>
      <c r="M39" s="36"/>
      <c r="N39" s="36"/>
      <c r="O39" s="36"/>
      <c r="P39" s="36"/>
      <c r="Q39" s="36"/>
      <c r="R39" s="36"/>
    </row>
    <row r="40" spans="1:1" x14ac:dyDescent="0.25">
      <c r="A40" s="12" t="s">
        <v>171</v>
      </c>
    </row>
    <row r="41" ht="24" customHeight="1" spans="1:18" x14ac:dyDescent="0.25">
      <c r="A41" s="37" t="s">
        <v>172</v>
      </c>
      <c r="B41" s="38">
        <f>IF(SUMPRODUCT((D15:D34&lt;&gt;"")*(G15:G34=100))&gt;0,"WARNING: one or more workload rows have a daily data change of exactly 100% - every byte changes daily, which is unusual for backups; please verify.","")</f>
      </c>
      <c r="C41" s="38"/>
      <c r="D41" s="38"/>
      <c r="E41" s="38"/>
      <c r="F41" s="38"/>
      <c r="G41" s="38"/>
      <c r="H41" s="38"/>
      <c r="I41" s="38"/>
      <c r="J41" s="38"/>
      <c r="K41" s="38"/>
      <c r="L41" s="38"/>
      <c r="M41" s="38"/>
      <c r="N41" s="38"/>
      <c r="O41" s="38"/>
      <c r="P41" s="38"/>
      <c r="Q41" s="38"/>
      <c r="R41" s="38"/>
    </row>
    <row r="42" ht="24" customHeight="1" spans="1:18" x14ac:dyDescent="0.25">
      <c r="A42" s="37" t="s">
        <v>173</v>
      </c>
      <c r="B42" s="38">
        <f>IF(AND($B$3="C",$E$9="GRS",$B$7&gt;1),"WARNING: GRS redundancy and DR copies are both selected. GRS already keeps a geo-redundant second copy, so combining it with DR copies may double-count the off-site copy - confirm this is intended.","")</f>
      </c>
      <c r="C42" s="38"/>
      <c r="D42" s="38"/>
      <c r="E42" s="38"/>
      <c r="F42" s="38"/>
      <c r="G42" s="38"/>
      <c r="H42" s="38"/>
      <c r="I42" s="38"/>
      <c r="J42" s="38"/>
      <c r="K42" s="38"/>
      <c r="L42" s="38"/>
      <c r="M42" s="38"/>
      <c r="N42" s="38"/>
      <c r="O42" s="38"/>
      <c r="P42" s="38"/>
      <c r="Q42" s="38"/>
      <c r="R42" s="38"/>
    </row>
    <row r="43" ht="24" customHeight="1" spans="1:18" x14ac:dyDescent="0.25">
      <c r="A43" s="37" t="s">
        <v>174</v>
      </c>
      <c r="B43" s="38">
        <f>IF(SUMPRODUCT((D15:D34&lt;&gt;"")*((H15:H34="")+ISNUMBER(H15:H34)*(H15:H34&lt;1)))&gt;0,"WARNING: a populated workload row has a blank, zero or negative immutability (lock) period - that row would compute zero retained change. Enter a whole-number retention of at least 1 day.","")</f>
      </c>
      <c r="C43" s="38"/>
      <c r="D43" s="38"/>
      <c r="E43" s="38"/>
      <c r="F43" s="38"/>
      <c r="G43" s="38"/>
      <c r="H43" s="38"/>
      <c r="I43" s="38"/>
      <c r="J43" s="38"/>
      <c r="K43" s="38"/>
      <c r="L43" s="38"/>
      <c r="M43" s="38"/>
      <c r="N43" s="38"/>
      <c r="O43" s="38"/>
      <c r="P43" s="38"/>
      <c r="Q43" s="38"/>
      <c r="R43" s="38"/>
    </row>
  </sheetData>
  <mergeCells count="10">
    <mergeCell ref="A1:Q1"/>
    <mergeCell ref="D6:E6"/>
    <mergeCell ref="D7:E7"/>
    <mergeCell ref="A11:C11"/>
    <mergeCell ref="A12:Q12"/>
    <mergeCell ref="C37:D37"/>
    <mergeCell ref="A39:R39"/>
    <mergeCell ref="B41:R41"/>
    <mergeCell ref="B42:R42"/>
    <mergeCell ref="B43:R43"/>
  </mergeCells>
  <dataValidations count="35">
    <dataValidation type="decimal" operator="greaterThanOrEqual" showErrorMessage="1" errorTitle="Invalid price" error="Storage price cannot be negative." sqref="B10">
      <formula1>0</formula1>
    </dataValidation>
    <dataValidation type="list" showErrorMessage="1" errorTitle="Invalid mode" error="Choose A, B or C" sqref="B3">
      <formula1>"A,B,C"</formula1>
    </dataValidation>
    <dataValidation type="decimal" operator="greaterThanOrEqual" showErrorMessage="1" errorTitle="Invalid reserve" error="Reserve % cannot be negative." sqref="B4">
      <formula1>0</formula1>
    </dataValidation>
    <dataValidation type="decimal" operator="greaterThanOrEqual" showErrorMessage="1" errorTitle="Invalid headroom" error="Headroom % cannot be negative." sqref="B5">
      <formula1>0</formula1>
    </dataValidation>
    <dataValidation type="decimal" showErrorMessage="1" errorTitle="Invalid fill level" error="Fill level must be greater than 0 and at most 100 (it cannot be zero or blank)." sqref="B6">
      <formula1>0.0001</formula1>
      <formula2>100</formula2>
    </dataValidation>
    <dataValidation type="decimal" operator="greaterThanOrEqual" showErrorMessage="1" errorTitle="Invalid DR sites" error="DR copies must be at least 1." sqref="B7">
      <formula1>1</formula1>
    </dataValidation>
    <dataValidation type="whole" operator="greaterThanOrEqual" showErrorMessage="1" errorTitle="Invalid horizon" error="Projection horizon must be a whole number of days, at least 1." sqref="B8">
      <formula1>1</formula1>
    </dataValidation>
    <dataValidation type="decimal" showErrorMessage="1" errorTitle="Invalid micro-pruning" error="Micro-pruning must be between 0 and 30 percent (Mode C only)." sqref="B9">
      <formula1>0</formula1>
      <formula2>30</formula2>
    </dataValidation>
    <dataValidation type="list" allowBlank="1" showErrorMessage="1" errorTitle="Invalid unit" error="Choose GB, TB or PB" sqref="C15:C34">
      <formula1>"GB,TB,PB"</formula1>
    </dataValidation>
    <dataValidation type="list" showErrorMessage="1" errorTitle="Yes or No" error="Choose Yes or No" sqref="E4">
      <formula1>"Yes,No"</formula1>
    </dataValidation>
    <dataValidation type="list" showErrorMessage="1" errorTitle="Blob tier" error="Choose Hot, Cool or Cold" sqref="E8">
      <formula1>"Hot,Cool,Cold"</formula1>
    </dataValidation>
    <dataValidation type="list" showErrorMessage="1" errorTitle="Redundancy" error="Choose LRS, ZRS or GRS" sqref="E9">
      <formula1>"LRS,ZRS,GRS"</formula1>
    </dataValidation>
    <dataValidation type="decimal" operator="greaterThanOrEqual" allowBlank="1" showErrorMessage="1" errorTitle="Invalid change rate" error="Daily data change rate cannot be negative." sqref="G15:G34">
      <formula1>0</formula1>
    </dataValidation>
    <dataValidation type="custom" showErrorMessage="1" errorTitle="Invalid retention" error="On a populated workload row the immutability (lock) period must be a whole number of days, at least 1. It cannot be left blank or zero/negative." sqref="H15">
      <formula1>=OR(D15="",AND(ISNUMBER(H15),H15&gt;=1,H15=INT(H15)))</formula1>
    </dataValidation>
    <dataValidation type="custom" showErrorMessage="1" errorTitle="Invalid retention" error="On a populated workload row the immutability (lock) period must be a whole number of days, at least 1. It cannot be left blank or zero/negative." sqref="H16">
      <formula1>=OR(D16="",AND(ISNUMBER(H16),H16&gt;=1,H16=INT(H16)))</formula1>
    </dataValidation>
    <dataValidation type="custom" showErrorMessage="1" errorTitle="Invalid retention" error="On a populated workload row the immutability (lock) period must be a whole number of days, at least 1. It cannot be left blank or zero/negative." sqref="H17">
      <formula1>=OR(D17="",AND(ISNUMBER(H17),H17&gt;=1,H17=INT(H17)))</formula1>
    </dataValidation>
    <dataValidation type="custom" showErrorMessage="1" errorTitle="Invalid retention" error="On a populated workload row the immutability (lock) period must be a whole number of days, at least 1. It cannot be left blank or zero/negative." sqref="H18">
      <formula1>=OR(D18="",AND(ISNUMBER(H18),H18&gt;=1,H18=INT(H18)))</formula1>
    </dataValidation>
    <dataValidation type="custom" showErrorMessage="1" errorTitle="Invalid retention" error="On a populated workload row the immutability (lock) period must be a whole number of days, at least 1. It cannot be left blank or zero/negative." sqref="H19">
      <formula1>=OR(D19="",AND(ISNUMBER(H19),H19&gt;=1,H19=INT(H19)))</formula1>
    </dataValidation>
    <dataValidation type="custom" showErrorMessage="1" errorTitle="Invalid retention" error="On a populated workload row the immutability (lock) period must be a whole number of days, at least 1. It cannot be left blank or zero/negative." sqref="H20">
      <formula1>=OR(D20="",AND(ISNUMBER(H20),H20&gt;=1,H20=INT(H20)))</formula1>
    </dataValidation>
    <dataValidation type="custom" showErrorMessage="1" errorTitle="Invalid retention" error="On a populated workload row the immutability (lock) period must be a whole number of days, at least 1. It cannot be left blank or zero/negative." sqref="H21">
      <formula1>=OR(D21="",AND(ISNUMBER(H21),H21&gt;=1,H21=INT(H21)))</formula1>
    </dataValidation>
    <dataValidation type="custom" showErrorMessage="1" errorTitle="Invalid retention" error="On a populated workload row the immutability (lock) period must be a whole number of days, at least 1. It cannot be left blank or zero/negative." sqref="H22">
      <formula1>=OR(D22="",AND(ISNUMBER(H22),H22&gt;=1,H22=INT(H22)))</formula1>
    </dataValidation>
    <dataValidation type="custom" showErrorMessage="1" errorTitle="Invalid retention" error="On a populated workload row the immutability (lock) period must be a whole number of days, at least 1. It cannot be left blank or zero/negative." sqref="H23">
      <formula1>=OR(D23="",AND(ISNUMBER(H23),H23&gt;=1,H23=INT(H23)))</formula1>
    </dataValidation>
    <dataValidation type="custom" showErrorMessage="1" errorTitle="Invalid retention" error="On a populated workload row the immutability (lock) period must be a whole number of days, at least 1. It cannot be left blank or zero/negative." sqref="H24">
      <formula1>=OR(D24="",AND(ISNUMBER(H24),H24&gt;=1,H24=INT(H24)))</formula1>
    </dataValidation>
    <dataValidation type="custom" showErrorMessage="1" errorTitle="Invalid retention" error="On a populated workload row the immutability (lock) period must be a whole number of days, at least 1. It cannot be left blank or zero/negative." sqref="H25">
      <formula1>=OR(D25="",AND(ISNUMBER(H25),H25&gt;=1,H25=INT(H25)))</formula1>
    </dataValidation>
    <dataValidation type="custom" showErrorMessage="1" errorTitle="Invalid retention" error="On a populated workload row the immutability (lock) period must be a whole number of days, at least 1. It cannot be left blank or zero/negative." sqref="H26">
      <formula1>=OR(D26="",AND(ISNUMBER(H26),H26&gt;=1,H26=INT(H26)))</formula1>
    </dataValidation>
    <dataValidation type="custom" showErrorMessage="1" errorTitle="Invalid retention" error="On a populated workload row the immutability (lock) period must be a whole number of days, at least 1. It cannot be left blank or zero/negative." sqref="H27">
      <formula1>=OR(D27="",AND(ISNUMBER(H27),H27&gt;=1,H27=INT(H27)))</formula1>
    </dataValidation>
    <dataValidation type="custom" showErrorMessage="1" errorTitle="Invalid retention" error="On a populated workload row the immutability (lock) period must be a whole number of days, at least 1. It cannot be left blank or zero/negative." sqref="H28">
      <formula1>=OR(D28="",AND(ISNUMBER(H28),H28&gt;=1,H28=INT(H28)))</formula1>
    </dataValidation>
    <dataValidation type="custom" showErrorMessage="1" errorTitle="Invalid retention" error="On a populated workload row the immutability (lock) period must be a whole number of days, at least 1. It cannot be left blank or zero/negative." sqref="H29">
      <formula1>=OR(D29="",AND(ISNUMBER(H29),H29&gt;=1,H29=INT(H29)))</formula1>
    </dataValidation>
    <dataValidation type="custom" showErrorMessage="1" errorTitle="Invalid retention" error="On a populated workload row the immutability (lock) period must be a whole number of days, at least 1. It cannot be left blank or zero/negative." sqref="H30">
      <formula1>=OR(D30="",AND(ISNUMBER(H30),H30&gt;=1,H30=INT(H30)))</formula1>
    </dataValidation>
    <dataValidation type="custom" showErrorMessage="1" errorTitle="Invalid retention" error="On a populated workload row the immutability (lock) period must be a whole number of days, at least 1. It cannot be left blank or zero/negative." sqref="H31">
      <formula1>=OR(D31="",AND(ISNUMBER(H31),H31&gt;=1,H31=INT(H31)))</formula1>
    </dataValidation>
    <dataValidation type="custom" showErrorMessage="1" errorTitle="Invalid retention" error="On a populated workload row the immutability (lock) period must be a whole number of days, at least 1. It cannot be left blank or zero/negative." sqref="H32">
      <formula1>=OR(D32="",AND(ISNUMBER(H32),H32&gt;=1,H32=INT(H32)))</formula1>
    </dataValidation>
    <dataValidation type="custom" showErrorMessage="1" errorTitle="Invalid retention" error="On a populated workload row the immutability (lock) period must be a whole number of days, at least 1. It cannot be left blank or zero/negative." sqref="H33">
      <formula1>=OR(D33="",AND(ISNUMBER(H33),H33&gt;=1,H33=INT(H33)))</formula1>
    </dataValidation>
    <dataValidation type="custom" showErrorMessage="1" errorTitle="Invalid retention" error="On a populated workload row the immutability (lock) period must be a whole number of days, at least 1. It cannot be left blank or zero/negative." sqref="H34">
      <formula1>=OR(D34="",AND(ISNUMBER(H34),H34&gt;=1,H34=INT(H34)))</formula1>
    </dataValidation>
    <dataValidation type="decimal" operator="greaterThanOrEqual" allowBlank="1" showErrorMessage="1" errorTitle="Invalid growth" error="Annual data growth cannot be negative." sqref="I15:I34">
      <formula1>0</formula1>
    </dataValidation>
    <dataValidation type="list" allowBlank="1" sqref="J15:J34">
      <formula1>"Daily,Twice per day,4 times per day,Hourly"</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60" customWidth="1"/>
    <col min="3" max="3" width="62" customWidth="1"/>
  </cols>
  <sheetData>
    <row r="1" ht="22" customHeight="1" spans="1:3" x14ac:dyDescent="0.25">
      <c r="A1" s="39" t="s">
        <v>175</v>
      </c>
      <c r="B1" s="39"/>
      <c r="C1" s="39"/>
    </row>
    <row r="2" ht="18" customHeight="1" spans="1:3" x14ac:dyDescent="0.25">
      <c r="A2" s="40" t="s">
        <v>176</v>
      </c>
      <c r="B2" s="40" t="s">
        <v>177</v>
      </c>
      <c r="C2" s="40" t="s">
        <v>178</v>
      </c>
    </row>
    <row r="3" ht="65" customHeight="1" spans="1:3" x14ac:dyDescent="0.25">
      <c r="A3" s="41" t="s">
        <v>179</v>
      </c>
      <c r="B3" s="41" t="s">
        <v>180</v>
      </c>
      <c r="C3" s="41" t="s">
        <v>181</v>
      </c>
    </row>
    <row r="4" ht="52" customHeight="1" spans="1:3" x14ac:dyDescent="0.25">
      <c r="A4" s="41" t="s">
        <v>182</v>
      </c>
      <c r="B4" s="41" t="s">
        <v>183</v>
      </c>
      <c r="C4" s="41" t="s">
        <v>184</v>
      </c>
    </row>
    <row r="5" ht="39" customHeight="1" spans="1:3" x14ac:dyDescent="0.25">
      <c r="A5" s="41" t="s">
        <v>185</v>
      </c>
      <c r="B5" s="41" t="s">
        <v>186</v>
      </c>
      <c r="C5" s="41" t="s">
        <v>187</v>
      </c>
    </row>
    <row r="6" ht="52" customHeight="1" spans="1:3" x14ac:dyDescent="0.25">
      <c r="A6" s="41" t="s">
        <v>188</v>
      </c>
      <c r="B6" s="41" t="s">
        <v>189</v>
      </c>
      <c r="C6" s="41" t="s">
        <v>190</v>
      </c>
    </row>
    <row r="7" ht="39" customHeight="1" spans="1:3" x14ac:dyDescent="0.25">
      <c r="A7" s="41" t="s">
        <v>191</v>
      </c>
      <c r="B7" s="41" t="s">
        <v>192</v>
      </c>
      <c r="C7" s="41" t="s">
        <v>193</v>
      </c>
    </row>
    <row r="8" ht="26" customHeight="1" spans="1:3" x14ac:dyDescent="0.25">
      <c r="A8" s="41" t="s">
        <v>194</v>
      </c>
      <c r="B8" s="41" t="s">
        <v>195</v>
      </c>
      <c r="C8" s="41" t="s">
        <v>196</v>
      </c>
    </row>
    <row r="9" ht="52" customHeight="1" spans="1:3" x14ac:dyDescent="0.25">
      <c r="A9" s="41" t="s">
        <v>197</v>
      </c>
      <c r="B9" s="41" t="s">
        <v>198</v>
      </c>
      <c r="C9" s="41" t="s">
        <v>199</v>
      </c>
    </row>
    <row r="10" ht="6" customHeight="1" x14ac:dyDescent="0.25"/>
    <row r="11" ht="18" customHeight="1" spans="1:3" x14ac:dyDescent="0.25">
      <c r="A11" s="40" t="s">
        <v>200</v>
      </c>
      <c r="B11" s="40" t="s">
        <v>177</v>
      </c>
      <c r="C11" s="40" t="s">
        <v>201</v>
      </c>
    </row>
    <row r="12" ht="52" customHeight="1" spans="1:3" x14ac:dyDescent="0.25">
      <c r="A12" s="41" t="s">
        <v>202</v>
      </c>
      <c r="B12" s="41" t="s">
        <v>203</v>
      </c>
      <c r="C12" s="41" t="s">
        <v>204</v>
      </c>
    </row>
    <row r="13" ht="39" customHeight="1" spans="1:3" x14ac:dyDescent="0.25">
      <c r="A13" s="41" t="s">
        <v>205</v>
      </c>
      <c r="B13" s="41" t="s">
        <v>206</v>
      </c>
      <c r="C13" s="41" t="s">
        <v>207</v>
      </c>
    </row>
    <row r="14" ht="78" customHeight="1" spans="1:3" x14ac:dyDescent="0.25">
      <c r="A14" s="41" t="s">
        <v>208</v>
      </c>
      <c r="B14" s="41" t="s">
        <v>209</v>
      </c>
      <c r="C14" s="41" t="s">
        <v>210</v>
      </c>
    </row>
    <row r="15" ht="91" customHeight="1" spans="1:3" x14ac:dyDescent="0.25">
      <c r="A15" s="41" t="s">
        <v>211</v>
      </c>
      <c r="B15" s="41" t="s">
        <v>212</v>
      </c>
      <c r="C15" s="41" t="s">
        <v>213</v>
      </c>
    </row>
    <row r="16" ht="52" customHeight="1" spans="1:3" x14ac:dyDescent="0.25">
      <c r="A16" s="41" t="s">
        <v>214</v>
      </c>
      <c r="B16" s="41" t="s">
        <v>215</v>
      </c>
      <c r="C16" s="41" t="s">
        <v>216</v>
      </c>
    </row>
    <row r="17" ht="26" customHeight="1" spans="1:3" x14ac:dyDescent="0.25">
      <c r="A17" s="41" t="s">
        <v>217</v>
      </c>
      <c r="B17" s="41" t="s">
        <v>218</v>
      </c>
      <c r="C17" s="41" t="s">
        <v>219</v>
      </c>
    </row>
    <row r="18" ht="65" customHeight="1" spans="1:3" x14ac:dyDescent="0.25">
      <c r="A18" s="41" t="s">
        <v>220</v>
      </c>
      <c r="B18" s="41" t="s">
        <v>221</v>
      </c>
      <c r="C18" s="41" t="s">
        <v>222</v>
      </c>
    </row>
    <row r="19" ht="78" customHeight="1" spans="1:3" x14ac:dyDescent="0.25">
      <c r="A19" s="41" t="s">
        <v>223</v>
      </c>
      <c r="B19" s="41" t="s">
        <v>224</v>
      </c>
      <c r="C19" s="41" t="s">
        <v>225</v>
      </c>
    </row>
    <row r="20" ht="52" customHeight="1" spans="1:3" x14ac:dyDescent="0.25">
      <c r="A20" s="41" t="s">
        <v>226</v>
      </c>
      <c r="B20" s="41" t="s">
        <v>227</v>
      </c>
      <c r="C20" s="41" t="s">
        <v>228</v>
      </c>
    </row>
    <row r="21" ht="39" customHeight="1" spans="1:3" x14ac:dyDescent="0.25">
      <c r="A21" s="41" t="s">
        <v>229</v>
      </c>
      <c r="B21" s="41" t="s">
        <v>230</v>
      </c>
      <c r="C21" s="41" t="s">
        <v>231</v>
      </c>
    </row>
    <row r="22" ht="26" customHeight="1" spans="1:3" x14ac:dyDescent="0.25">
      <c r="A22" s="41" t="s">
        <v>232</v>
      </c>
      <c r="B22" s="41" t="s">
        <v>233</v>
      </c>
      <c r="C22" s="41" t="s">
        <v>234</v>
      </c>
    </row>
    <row r="23" ht="39" customHeight="1" spans="1:3" x14ac:dyDescent="0.25">
      <c r="A23" s="41" t="s">
        <v>235</v>
      </c>
      <c r="B23" s="41" t="s">
        <v>236</v>
      </c>
      <c r="C23" s="41" t="s">
        <v>237</v>
      </c>
    </row>
    <row r="24" ht="39" customHeight="1" spans="1:3" x14ac:dyDescent="0.25">
      <c r="A24" s="41" t="s">
        <v>238</v>
      </c>
      <c r="B24" s="41" t="s">
        <v>239</v>
      </c>
      <c r="C24" s="41" t="s">
        <v>240</v>
      </c>
    </row>
    <row r="25" ht="6" customHeight="1" x14ac:dyDescent="0.25"/>
    <row r="26" ht="22" customHeight="1" spans="1:3" x14ac:dyDescent="0.25">
      <c r="A26" s="39" t="s">
        <v>241</v>
      </c>
      <c r="B26" s="39"/>
      <c r="C26" s="39"/>
    </row>
    <row r="27" ht="18" customHeight="1" spans="1:3" x14ac:dyDescent="0.25">
      <c r="A27" s="40" t="s">
        <v>242</v>
      </c>
      <c r="B27" s="40" t="s">
        <v>243</v>
      </c>
      <c r="C27" s="40" t="s">
        <v>244</v>
      </c>
    </row>
    <row r="28" ht="26" customHeight="1" spans="1:3" x14ac:dyDescent="0.25">
      <c r="A28" s="41" t="s">
        <v>245</v>
      </c>
      <c r="B28" s="41" t="s">
        <v>246</v>
      </c>
      <c r="C28" s="41" t="s">
        <v>247</v>
      </c>
    </row>
    <row r="29" ht="39" customHeight="1" spans="1:3" x14ac:dyDescent="0.25">
      <c r="A29" s="41" t="s">
        <v>248</v>
      </c>
      <c r="B29" s="41" t="s">
        <v>249</v>
      </c>
      <c r="C29" s="41" t="s">
        <v>250</v>
      </c>
    </row>
    <row r="30" ht="26" customHeight="1" spans="1:3" x14ac:dyDescent="0.25">
      <c r="A30" s="41" t="s">
        <v>251</v>
      </c>
      <c r="B30" s="41" t="s">
        <v>252</v>
      </c>
      <c r="C30" s="41" t="s">
        <v>253</v>
      </c>
    </row>
    <row r="31" ht="39" customHeight="1" spans="1:3" x14ac:dyDescent="0.25">
      <c r="A31" s="41" t="s">
        <v>254</v>
      </c>
      <c r="B31" s="41" t="s">
        <v>255</v>
      </c>
      <c r="C31" s="41" t="s">
        <v>256</v>
      </c>
    </row>
    <row r="32" ht="52" customHeight="1" spans="1:3" x14ac:dyDescent="0.25">
      <c r="A32" s="41" t="s">
        <v>257</v>
      </c>
      <c r="B32" s="41" t="s">
        <v>258</v>
      </c>
      <c r="C32" s="41" t="s">
        <v>259</v>
      </c>
    </row>
    <row r="33" ht="39" customHeight="1" spans="1:3" x14ac:dyDescent="0.25">
      <c r="A33" s="41" t="s">
        <v>260</v>
      </c>
      <c r="B33" s="41" t="s">
        <v>261</v>
      </c>
      <c r="C33" s="41" t="s">
        <v>262</v>
      </c>
    </row>
    <row r="34" ht="104" customHeight="1" spans="1:3" x14ac:dyDescent="0.25">
      <c r="A34" s="41" t="s">
        <v>263</v>
      </c>
      <c r="B34" s="41" t="s">
        <v>264</v>
      </c>
      <c r="C34" s="41" t="s">
        <v>265</v>
      </c>
    </row>
    <row r="35" ht="65" customHeight="1" spans="1:3" x14ac:dyDescent="0.25">
      <c r="A35" s="41" t="s">
        <v>266</v>
      </c>
      <c r="B35" s="41" t="s">
        <v>267</v>
      </c>
      <c r="C35" s="41" t="s">
        <v>268</v>
      </c>
    </row>
    <row r="36" ht="130" customHeight="1" spans="1:3" x14ac:dyDescent="0.25">
      <c r="A36" s="41" t="s">
        <v>269</v>
      </c>
      <c r="B36" s="41" t="s">
        <v>270</v>
      </c>
      <c r="C36" s="41" t="s">
        <v>271</v>
      </c>
    </row>
    <row r="37" ht="117" customHeight="1" spans="1:3" x14ac:dyDescent="0.25">
      <c r="A37" s="41" t="s">
        <v>272</v>
      </c>
      <c r="B37" s="41" t="s">
        <v>273</v>
      </c>
      <c r="C37" s="41" t="s">
        <v>274</v>
      </c>
    </row>
    <row r="38" ht="26" customHeight="1" spans="1:3" x14ac:dyDescent="0.25">
      <c r="A38" s="41" t="s">
        <v>275</v>
      </c>
      <c r="B38" s="41" t="s">
        <v>276</v>
      </c>
      <c r="C38" s="41" t="s">
        <v>277</v>
      </c>
    </row>
    <row r="39" ht="6" customHeight="1" x14ac:dyDescent="0.25"/>
    <row r="40" ht="22" customHeight="1" spans="1:3" x14ac:dyDescent="0.25">
      <c r="A40" s="39" t="s">
        <v>278</v>
      </c>
      <c r="B40" s="39"/>
      <c r="C40" s="39"/>
    </row>
    <row r="41" ht="18" customHeight="1" spans="1:3" x14ac:dyDescent="0.25">
      <c r="A41" s="40" t="s">
        <v>279</v>
      </c>
      <c r="B41" s="40" t="s">
        <v>280</v>
      </c>
      <c r="C41" s="40" t="s">
        <v>237</v>
      </c>
    </row>
    <row r="42" ht="70" customHeight="1" spans="1:3" x14ac:dyDescent="0.25">
      <c r="A42" s="41" t="s">
        <v>281</v>
      </c>
      <c r="B42" s="41" t="s">
        <v>282</v>
      </c>
      <c r="C42" s="41"/>
    </row>
    <row r="43" ht="60" customHeight="1" spans="1:3" x14ac:dyDescent="0.25">
      <c r="A43" s="41" t="s">
        <v>283</v>
      </c>
      <c r="B43" s="41" t="s">
        <v>284</v>
      </c>
      <c r="C43" s="41"/>
    </row>
  </sheetData>
  <mergeCells count="5">
    <mergeCell ref="A1:C1"/>
    <mergeCell ref="A26:C26"/>
    <mergeCell ref="A40:C40"/>
    <mergeCell ref="B42:C42"/>
    <mergeCell ref="B43:C43"/>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workbookViewId="0">
      <pane ySplit="2" topLeftCell="A3" activePane="bottomLeft" state="frozen"/>
      <selection pane="bottomLeft"/>
    </sheetView>
  </sheetViews>
  <sheetFormatPr defaultRowHeight="15" outlineLevelRow="0" outlineLevelCol="0" x14ac:dyDescent="55"/>
  <cols>
    <col min="1" max="1" width="40" customWidth="1"/>
    <col min="2" max="2" width="16" customWidth="1"/>
    <col min="3" max="3" width="3" customWidth="1"/>
    <col min="4" max="11" width="14" customWidth="1"/>
  </cols>
  <sheetData>
    <row r="1" ht="22" customHeight="1" spans="1:10" x14ac:dyDescent="0.25">
      <c r="A1" s="42" t="s">
        <v>285</v>
      </c>
      <c r="B1" s="42"/>
      <c r="C1" s="42"/>
      <c r="D1" s="42"/>
      <c r="E1" s="42"/>
      <c r="F1" s="42"/>
      <c r="G1" s="42"/>
      <c r="H1" s="42"/>
      <c r="I1" s="42"/>
      <c r="J1" s="42"/>
    </row>
    <row r="2" ht="18" customHeight="1" spans="1:10" x14ac:dyDescent="0.25">
      <c r="A2" s="43" t="s">
        <v>286</v>
      </c>
      <c r="B2" s="43"/>
      <c r="C2" s="43"/>
      <c r="D2" s="43"/>
      <c r="E2" s="43"/>
      <c r="F2" s="43"/>
      <c r="G2" s="43"/>
      <c r="H2" s="43"/>
      <c r="I2" s="43"/>
      <c r="J2" s="43"/>
    </row>
    <row r="3" ht="24" customHeight="1" spans="1:10" x14ac:dyDescent="0.25">
      <c r="A3" s="12" t="s">
        <v>287</v>
      </c>
      <c r="E3" s="44" t="s">
        <v>288</v>
      </c>
      <c r="F3" s="44"/>
      <c r="G3" s="44"/>
      <c r="H3" s="44"/>
      <c r="I3" s="44"/>
      <c r="J3" s="44"/>
    </row>
    <row r="4" spans="1:10" x14ac:dyDescent="0.25">
      <c r="A4" s="13" t="s">
        <v>289</v>
      </c>
      <c r="B4" s="45">
        <f>Calculator!P35</f>
      </c>
      <c r="E4" s="46" t="s">
        <v>290</v>
      </c>
      <c r="F4" s="46" t="s">
        <v>291</v>
      </c>
      <c r="G4" s="46" t="s">
        <v>292</v>
      </c>
      <c r="H4" s="46" t="s">
        <v>293</v>
      </c>
      <c r="I4" s="46" t="s">
        <v>294</v>
      </c>
      <c r="J4" s="46" t="s">
        <v>295</v>
      </c>
    </row>
    <row r="5" spans="1:10" x14ac:dyDescent="0.25">
      <c r="A5" s="13" t="s">
        <v>296</v>
      </c>
      <c r="B5" s="14" t="s">
        <v>137</v>
      </c>
      <c r="E5" s="47" t="s">
        <v>297</v>
      </c>
      <c r="F5" s="48">
        <v>0.0184</v>
      </c>
      <c r="G5" s="48">
        <v>0.059</v>
      </c>
      <c r="H5" s="48">
        <v>0.0047</v>
      </c>
      <c r="I5" s="48">
        <v>0</v>
      </c>
      <c r="J5" s="47">
        <v>0</v>
      </c>
    </row>
    <row r="6" spans="1:10" x14ac:dyDescent="0.25">
      <c r="A6" s="13" t="s">
        <v>298</v>
      </c>
      <c r="B6" s="14" t="s">
        <v>141</v>
      </c>
      <c r="E6" s="47" t="s">
        <v>137</v>
      </c>
      <c r="F6" s="48">
        <v>0.0105</v>
      </c>
      <c r="G6" s="48">
        <v>0.11</v>
      </c>
      <c r="H6" s="48">
        <v>0.011</v>
      </c>
      <c r="I6" s="48">
        <v>0.011</v>
      </c>
      <c r="J6" s="47">
        <v>30</v>
      </c>
    </row>
    <row r="7" spans="1:10" x14ac:dyDescent="0.25">
      <c r="A7" s="13" t="s">
        <v>299</v>
      </c>
      <c r="B7" s="49">
        <v>600</v>
      </c>
      <c r="E7" s="47" t="s">
        <v>300</v>
      </c>
      <c r="F7" s="48">
        <v>0.0045</v>
      </c>
      <c r="G7" s="48">
        <v>0.18</v>
      </c>
      <c r="H7" s="48">
        <v>0.1</v>
      </c>
      <c r="I7" s="48">
        <v>0.03</v>
      </c>
      <c r="J7" s="47">
        <v>90</v>
      </c>
    </row>
    <row r="8" spans="1:2" x14ac:dyDescent="0.25">
      <c r="A8" s="13" t="s">
        <v>301</v>
      </c>
      <c r="B8" s="49">
        <v>0</v>
      </c>
    </row>
    <row r="9" spans="1:10" x14ac:dyDescent="0.25">
      <c r="A9" s="13" t="s">
        <v>302</v>
      </c>
      <c r="B9" s="16">
        <v>2</v>
      </c>
      <c r="E9" s="46" t="s">
        <v>303</v>
      </c>
      <c r="F9" s="46" t="s">
        <v>304</v>
      </c>
      <c r="G9" s="46" t="s">
        <v>305</v>
      </c>
      <c r="H9" s="46" t="s">
        <v>306</v>
      </c>
      <c r="I9" s="46" t="s">
        <v>307</v>
      </c>
      <c r="J9" s="46" t="s">
        <v>308</v>
      </c>
    </row>
    <row r="10" spans="1:10" x14ac:dyDescent="0.25">
      <c r="A10" s="13" t="s">
        <v>309</v>
      </c>
      <c r="B10" s="14" t="s">
        <v>310</v>
      </c>
      <c r="E10" s="47" t="s">
        <v>141</v>
      </c>
      <c r="F10" s="50">
        <v>1</v>
      </c>
      <c r="G10" s="47" t="s">
        <v>310</v>
      </c>
      <c r="H10" s="51">
        <v>4.176</v>
      </c>
      <c r="I10" s="47" t="s">
        <v>311</v>
      </c>
      <c r="J10" s="47" t="s">
        <v>312</v>
      </c>
    </row>
    <row r="11" spans="1:10" x14ac:dyDescent="0.25">
      <c r="A11" s="13" t="s">
        <v>313</v>
      </c>
      <c r="B11" s="16">
        <v>6</v>
      </c>
      <c r="E11" s="47" t="s">
        <v>314</v>
      </c>
      <c r="F11" s="50">
        <v>1.25</v>
      </c>
      <c r="G11" s="47" t="s">
        <v>315</v>
      </c>
      <c r="H11" s="51">
        <v>2.704</v>
      </c>
      <c r="I11" s="47" t="s">
        <v>316</v>
      </c>
      <c r="J11" s="48">
        <v>0.0927</v>
      </c>
    </row>
    <row r="12" spans="1:10" x14ac:dyDescent="0.25">
      <c r="A12" s="13" t="s">
        <v>317</v>
      </c>
      <c r="B12" s="52">
        <v>500</v>
      </c>
      <c r="E12" s="47" t="s">
        <v>318</v>
      </c>
      <c r="F12" s="50">
        <v>2</v>
      </c>
      <c r="G12" s="47" t="s">
        <v>319</v>
      </c>
      <c r="H12" s="53">
        <v>730</v>
      </c>
      <c r="I12" s="47" t="s">
        <v>320</v>
      </c>
      <c r="J12" s="47" t="s">
        <v>321</v>
      </c>
    </row>
    <row r="13" spans="1:2" x14ac:dyDescent="0.25">
      <c r="A13" s="13" t="s">
        <v>322</v>
      </c>
      <c r="B13" s="14" t="s">
        <v>323</v>
      </c>
    </row>
    <row r="14" spans="1:11" x14ac:dyDescent="0.25">
      <c r="A14" s="13" t="s">
        <v>324</v>
      </c>
      <c r="B14" s="16">
        <v>2</v>
      </c>
      <c r="E14" s="46" t="s">
        <v>325</v>
      </c>
      <c r="F14" s="46" t="s">
        <v>306</v>
      </c>
      <c r="G14" s="46" t="s">
        <v>326</v>
      </c>
      <c r="H14" s="46" t="s">
        <v>327</v>
      </c>
      <c r="K14" s="46" t="s">
        <v>328</v>
      </c>
    </row>
    <row r="15" spans="1:11" x14ac:dyDescent="0.25">
      <c r="A15" s="13" t="s">
        <v>325</v>
      </c>
      <c r="B15" s="14" t="s">
        <v>329</v>
      </c>
      <c r="E15" s="47" t="s">
        <v>330</v>
      </c>
      <c r="F15" s="51">
        <v>0.19</v>
      </c>
      <c r="G15" s="47" t="s">
        <v>331</v>
      </c>
      <c r="H15" s="54">
        <v>6000</v>
      </c>
      <c r="K15" s="54">
        <v>1000</v>
      </c>
    </row>
    <row r="16" ht="34" customHeight="1" spans="1:11" x14ac:dyDescent="0.25">
      <c r="A16" s="36" t="s">
        <v>332</v>
      </c>
      <c r="B16" s="36"/>
      <c r="E16" s="47" t="s">
        <v>333</v>
      </c>
      <c r="F16" s="51">
        <v>0.361</v>
      </c>
      <c r="G16" s="47" t="s">
        <v>334</v>
      </c>
      <c r="H16" s="54">
        <v>56000</v>
      </c>
      <c r="K16" s="54">
        <v>1000</v>
      </c>
    </row>
    <row r="17" spans="5:11" x14ac:dyDescent="0.25">
      <c r="E17" s="47" t="s">
        <v>335</v>
      </c>
      <c r="F17" s="51">
        <v>0.632</v>
      </c>
      <c r="G17" s="47" t="s">
        <v>336</v>
      </c>
      <c r="H17" s="51">
        <v>0.025</v>
      </c>
      <c r="K17" s="54">
        <v>2000</v>
      </c>
    </row>
    <row r="18" spans="1:11" x14ac:dyDescent="0.25">
      <c r="A18" s="55" t="s">
        <v>337</v>
      </c>
      <c r="B18" s="55"/>
      <c r="E18" s="47" t="s">
        <v>338</v>
      </c>
      <c r="F18" s="51">
        <v>0.49</v>
      </c>
      <c r="K18" s="54">
        <v>2000</v>
      </c>
    </row>
    <row r="19" spans="1:11" x14ac:dyDescent="0.25">
      <c r="A19" s="56" t="s">
        <v>339</v>
      </c>
      <c r="B19" s="57">
        <f>Calculator!M35</f>
      </c>
      <c r="E19" s="47" t="s">
        <v>329</v>
      </c>
      <c r="F19" s="51">
        <v>2.151</v>
      </c>
      <c r="K19" s="54">
        <v>10000</v>
      </c>
    </row>
    <row r="20" spans="1:11" x14ac:dyDescent="0.25">
      <c r="A20" s="56" t="s">
        <v>340</v>
      </c>
      <c r="B20" s="57">
        <f>Calculator!L35</f>
      </c>
      <c r="E20" s="47" t="s">
        <v>341</v>
      </c>
      <c r="F20" s="51">
        <v>1.87</v>
      </c>
      <c r="K20" s="54">
        <v>10000</v>
      </c>
    </row>
    <row r="21" spans="1:2" x14ac:dyDescent="0.25">
      <c r="A21" s="56" t="s">
        <v>342</v>
      </c>
      <c r="B21" s="58">
        <f>Calculator!H15</f>
      </c>
    </row>
    <row r="22" spans="1:2" x14ac:dyDescent="0.25">
      <c r="A22" s="13" t="s">
        <v>343</v>
      </c>
      <c r="B22" s="59">
        <f>($B$19+MAX($B$21,IF($B$5="Hot",J5,IF($B$5="Cold",J7,J6)))*$B$20)*Calculator!$B$7</f>
      </c>
    </row>
    <row r="23" spans="1:2" x14ac:dyDescent="0.25">
      <c r="A23" s="56" t="s">
        <v>344</v>
      </c>
      <c r="B23" s="57">
        <f>($B$19+MAX($B$21,IF($B$5="Hot",J5,IF($B$5="Cold",J7,J6)))*$B$20)*Calculator!$B$7*1000*IF($B$5="Hot",F5,IF($B$5="Cold",F7,F6))*IF($B$6="ZRS",F11,IF($B$6="GRS",F12,F10))</f>
      </c>
    </row>
    <row r="24" spans="1:2" x14ac:dyDescent="0.25">
      <c r="A24" s="56" t="s">
        <v>345</v>
      </c>
      <c r="B24" s="57">
        <f>($B$19+MAX($B$21,IF($B$5="Hot",J5,IF($B$5="Cold",J7,J6)))*$B$20)*Calculator!$B$7*1000*IF($B$5="Hot",F5,IF($B$5="Cold",F7,F6))*IF($B$6="ZRS",F11,IF($B$6="GRS",F12,F10))*12</f>
      </c>
    </row>
    <row r="25" spans="1:2" x14ac:dyDescent="0.25">
      <c r="A25" s="56" t="s">
        <v>346</v>
      </c>
      <c r="B25" s="57">
        <f>$B$7*31250/10000*IF($B$5="Hot",G5,IF($B$5="Cold",G7,G6))</f>
      </c>
    </row>
    <row r="26" spans="1:2" x14ac:dyDescent="0.25">
      <c r="A26" s="56" t="s">
        <v>347</v>
      </c>
      <c r="B26" s="57">
        <f>IF($B$8&gt;0,$B$8*31250/10000*IF($B$5="Hot",H5,IF($B$5="Cold",H7,H6))+$B$8*1000*IF($B$5="Hot",I5,IF($B$5="Cold",I7,I6))+$B$8*1000*$H$17,0)</f>
      </c>
    </row>
    <row r="27" spans="1:2" x14ac:dyDescent="0.25">
      <c r="A27" s="56" t="s">
        <v>348</v>
      </c>
      <c r="B27" s="57">
        <f>$B$9*IF($B$10="Linux",H11,H10)*$H$12+$B$11*$B$12*$J$11</f>
      </c>
    </row>
    <row r="28" spans="1:2" x14ac:dyDescent="0.25">
      <c r="A28" s="56" t="s">
        <v>349</v>
      </c>
      <c r="B28" s="57">
        <f>($B$9*IF($B$10="Linux",H11,H10)*$H$12+$B$11*$B$12*$J$11)*12</f>
      </c>
    </row>
    <row r="29" spans="1:2" x14ac:dyDescent="0.25">
      <c r="A29" s="13" t="s">
        <v>350</v>
      </c>
      <c r="B29" s="59">
        <f>($B$19+MAX($B$21,IF($B$5="Hot",J5,IF($B$5="Cold",J7,J6)))*$B$20)*Calculator!$B$7*1000*IF($B$5="Hot",F5,IF($B$5="Cold",F7,F6))*IF($B$6="ZRS",F11,IF($B$6="GRS",F12,F10))+$B$9*IF($B$10="Linux",H11,H10)*$H$12+$B$11*$B$12*$J$11</f>
      </c>
    </row>
    <row r="30" spans="1:2" x14ac:dyDescent="0.25">
      <c r="A30" s="13" t="s">
        <v>351</v>
      </c>
      <c r="B30" s="59">
        <f>(($B$19+MAX($B$21,IF($B$5="Hot",J5,IF($B$5="Cold",J7,J6)))*$B$20)*Calculator!$B$7*1000*IF($B$5="Hot",F5,IF($B$5="Cold",F7,F6))*IF($B$6="ZRS",F11,IF($B$6="GRS",F12,F10))+$B$9*IF($B$10="Linux",H11,H10)*$H$12+$B$11*$B$12*$J$11)*12</f>
      </c>
    </row>
    <row r="31" ht="30" customHeight="1" spans="1:2" x14ac:dyDescent="0.25">
      <c r="A31" s="13" t="s">
        <v>352</v>
      </c>
      <c r="B31" s="60">
        <f>IF($B$21&lt;IF($B$5="Hot",J5,IF($B$5="Cold",J7,J6)),"WARNING: lock "&amp;$B$21&amp;"d is below the "&amp;IF($B$5="Hot",J5,IF($B$5="Cold",J7,J6))&amp;"-day "&amp;$B$5&amp;" minimum billing duration - billed on "&amp;IF($B$5="Hot",J5,IF($B$5="Cold",J7,J6))&amp;" days. Cool can still be cheaper than Hot at short locks; compare tiers below.","OK: lock "&amp;$B$21&amp;"d meets the "&amp;$B$5&amp;" tier minimum")</f>
      </c>
    </row>
    <row r="32" spans="1:2" x14ac:dyDescent="0.25">
      <c r="A32" s="55" t="s">
        <v>353</v>
      </c>
      <c r="B32" s="55"/>
    </row>
    <row r="33" spans="1:2" x14ac:dyDescent="0.25">
      <c r="A33" s="56" t="s">
        <v>354</v>
      </c>
      <c r="B33" s="57">
        <f>IF($B$13="Yes",$B$14*$H$15,0)</f>
      </c>
    </row>
    <row r="34" spans="1:2" x14ac:dyDescent="0.25">
      <c r="A34" s="56" t="s">
        <v>355</v>
      </c>
      <c r="B34" s="57">
        <f>IF($B$13="Yes",IF($B$15="Standard",F15,IF($B$15="ErGw1AZ",F16,IF($B$15="ErGw2AZ",F17,IF($B$15="HighPerf",F18,IF($B$15="Ultra",F20,F19)))))*$H$12,0)</f>
      </c>
    </row>
    <row r="35" spans="1:2" x14ac:dyDescent="0.25">
      <c r="A35" s="13" t="s">
        <v>356</v>
      </c>
      <c r="B35" s="59">
        <f>IF($B$13="Yes",$B$14*$H$15+IF($B$15="Standard",F15,IF($B$15="ErGw1AZ",F16,IF($B$15="ErGw2AZ",F17,IF($B$15="HighPerf",F18,IF($B$15="Ultra",F20,F19)))))*$H$12,0)</f>
      </c>
    </row>
    <row r="36" spans="1:2" x14ac:dyDescent="0.25">
      <c r="A36" s="13" t="s">
        <v>357</v>
      </c>
      <c r="B36" s="59">
        <f>IF($B$13="Yes",($B$14*$H$15+IF($B$15="Standard",F15,IF($B$15="ErGw1AZ",F16,IF($B$15="ErGw2AZ",F17,IF($B$15="HighPerf",F18,IF($B$15="Ultra",F20,F19)))))*$H$12)*12,0)</f>
      </c>
    </row>
    <row r="37" spans="1:2" x14ac:dyDescent="0.25">
      <c r="A37" s="55" t="s">
        <v>358</v>
      </c>
      <c r="B37" s="55"/>
    </row>
    <row r="38" spans="1:2" x14ac:dyDescent="0.25">
      <c r="A38" s="13" t="s">
        <v>359</v>
      </c>
      <c r="B38" s="59">
        <f>($B$19+MAX($B$21,IF($B$5="Hot",J5,IF($B$5="Cold",J7,J6)))*$B$20)*Calculator!$B$7*1000*IF($B$5="Hot",F5,IF($B$5="Cold",F7,F6))*IF($B$6="ZRS",F11,IF($B$6="GRS",F12,F10))+$B$9*IF($B$10="Linux",H11,H10)*$H$12+$B$11*$B$12*$J$11+IF($B$13="Yes",$B$14*$H$15+IF($B$15="Standard",F15,IF($B$15="ErGw1AZ",F16,IF($B$15="ErGw2AZ",F17,IF($B$15="HighPerf",F18,IF($B$15="Ultra",F20,F19)))))*$H$12,0)</f>
      </c>
    </row>
    <row r="39" spans="1:2" x14ac:dyDescent="0.25">
      <c r="A39" s="13" t="s">
        <v>360</v>
      </c>
      <c r="B39" s="59">
        <f>(($B$19+MAX($B$21,IF($B$5="Hot",J5,IF($B$5="Cold",J7,J6)))*$B$20)*Calculator!$B$7*1000*IF($B$5="Hot",F5,IF($B$5="Cold",F7,F6))*IF($B$6="ZRS",F11,IF($B$6="GRS",F12,F10))+$B$9*IF($B$10="Linux",H11,H10)*$H$12+$B$11*$B$12*$J$11+IF($B$13="Yes",$B$14*$H$15+IF($B$15="Standard",F15,IF($B$15="ErGw1AZ",F16,IF($B$15="ErGw2AZ",F17,IF($B$15="HighPerf",F18,IF($B$15="Ultra",F20,F19)))))*$H$12,0))*12</f>
      </c>
    </row>
    <row r="40" spans="1:2" x14ac:dyDescent="0.25">
      <c r="A40" s="55" t="s">
        <v>361</v>
      </c>
      <c r="B40" s="55"/>
    </row>
    <row r="41" spans="1:2" x14ac:dyDescent="0.25">
      <c r="A41" s="56" t="s">
        <v>362</v>
      </c>
      <c r="B41" s="61">
        <f>IF($B$15="Standard",K15,IF($B$15="ErGw1AZ",K16,IF($B$15="ErGw2AZ",K17,IF($B$15="HighPerf",K18,IF($B$15="Ultra",K20,K19)))))</f>
      </c>
    </row>
    <row r="42" spans="1:2" x14ac:dyDescent="0.25">
      <c r="A42" s="56" t="s">
        <v>363</v>
      </c>
      <c r="B42" s="57">
        <f>IF($B$15="Standard",K15,IF($B$15="ErGw1AZ",K16,IF($B$15="ErGw2AZ",K17,IF($B$15="HighPerf",K18,IF($B$15="Ultra",K20,K19)))))/8</f>
      </c>
    </row>
    <row r="43" spans="1:2" x14ac:dyDescent="0.25">
      <c r="A43" s="56" t="s">
        <v>364</v>
      </c>
      <c r="B43" s="57">
        <f>IF(IF($B$15="Standard",K15,IF($B$15="ErGw1AZ",K16,IF($B$15="ErGw2AZ",K17,IF($B$15="HighPerf",K18,IF($B$15="Ultra",K20,K19)))))&gt;0,$B$7*92.5926/(IF($B$15="Standard",K15,IF($B$15="ErGw1AZ",K16,IF($B$15="ErGw2AZ",K17,IF($B$15="HighPerf",K18,IF($B$15="Ultra",K20,K19)))))),0)</f>
      </c>
    </row>
    <row r="44" spans="1:2" x14ac:dyDescent="0.25">
      <c r="A44" s="56" t="s">
        <v>365</v>
      </c>
      <c r="B44" s="57">
        <f>IF(IF($B$15="Standard",K15,IF($B$15="ErGw1AZ",K16,IF($B$15="ErGw2AZ",K17,IF($B$15="HighPerf",K18,IF($B$15="Ultra",K20,K19)))))&gt;0,$B$8*92.5926/(IF($B$15="Standard",K15,IF($B$15="ErGw1AZ",K16,IF($B$15="ErGw2AZ",K17,IF($B$15="HighPerf",K18,IF($B$15="Ultra",K20,K19)))))),0)</f>
      </c>
    </row>
    <row r="45" ht="30" customHeight="1" spans="1:10" x14ac:dyDescent="0.25">
      <c r="A45" s="36" t="s">
        <v>366</v>
      </c>
      <c r="B45" s="36"/>
      <c r="C45" s="36"/>
      <c r="D45" s="36"/>
      <c r="E45" s="36"/>
      <c r="F45" s="36"/>
      <c r="G45" s="36"/>
      <c r="H45" s="36"/>
      <c r="I45" s="36"/>
      <c r="J45" s="36"/>
    </row>
    <row r="46" ht="26" customHeight="1" spans="1:10" x14ac:dyDescent="0.25">
      <c r="A46" s="36" t="s">
        <v>367</v>
      </c>
      <c r="B46" s="36"/>
      <c r="C46" s="36"/>
      <c r="D46" s="36"/>
      <c r="E46" s="36"/>
      <c r="F46" s="36"/>
      <c r="G46" s="36"/>
      <c r="H46" s="36"/>
      <c r="I46" s="36"/>
      <c r="J46" s="36"/>
    </row>
    <row r="48" spans="1:5" x14ac:dyDescent="0.25">
      <c r="A48" s="12" t="s">
        <v>368</v>
      </c>
      <c r="B48" s="12"/>
      <c r="C48" s="12"/>
      <c r="D48" s="12"/>
      <c r="E48" s="12"/>
    </row>
    <row r="49" spans="1:4" x14ac:dyDescent="0.25">
      <c r="A49" s="62" t="s">
        <v>369</v>
      </c>
      <c r="B49" s="62" t="s">
        <v>297</v>
      </c>
      <c r="C49" s="62" t="s">
        <v>137</v>
      </c>
      <c r="D49" s="62" t="s">
        <v>300</v>
      </c>
    </row>
    <row r="50" spans="1:4" x14ac:dyDescent="0.25">
      <c r="A50" s="63" t="s">
        <v>370</v>
      </c>
      <c r="B50" s="64">
        <f>($B$19+MAX($B$21,J5)*$B$20)*Calculator!$B$7*1000*F5*IF($B$6="ZRS",F11,IF($B$6="GRS",F12,F10))</f>
      </c>
      <c r="C50" s="64">
        <f>($B$19+MAX($B$21,J6)*$B$20)*Calculator!$B$7*1000*F6*IF($B$6="ZRS",F11,IF($B$6="GRS",F12,F10))</f>
      </c>
      <c r="D50" s="64">
        <f>($B$19+MAX($B$21,J7)*$B$20)*Calculator!$B$7*1000*F7*IF($B$6="ZRS",F11,IF($B$6="GRS",F12,F10))</f>
      </c>
    </row>
    <row r="51" spans="1:4" x14ac:dyDescent="0.25">
      <c r="A51" s="63" t="s">
        <v>371</v>
      </c>
      <c r="B51" s="64">
        <f>$B$7*31250/10000*G5</f>
      </c>
      <c r="C51" s="64">
        <f>$B$7*31250/10000*G6</f>
      </c>
      <c r="D51" s="64">
        <f>$B$7*31250/10000*G7</f>
      </c>
    </row>
    <row r="52" spans="1:4" x14ac:dyDescent="0.25">
      <c r="A52" s="63" t="s">
        <v>347</v>
      </c>
      <c r="B52" s="64">
        <f>IF($B$8&gt;0,$B$8*31250/10000*H5+$B$8*1000*I5+$B$8*1000*$H$17,0)</f>
      </c>
      <c r="C52" s="64">
        <f>IF($B$8&gt;0,$B$8*31250/10000*H6+$B$8*1000*I6+$B$8*1000*$H$17,0)</f>
      </c>
      <c r="D52" s="64">
        <f>IF($B$8&gt;0,$B$8*31250/10000*H7+$B$8*1000*I7+$B$8*1000*$H$17,0)</f>
      </c>
    </row>
  </sheetData>
  <mergeCells count="11">
    <mergeCell ref="A1:J1"/>
    <mergeCell ref="A2:J2"/>
    <mergeCell ref="E3:J3"/>
    <mergeCell ref="A16:B16"/>
    <mergeCell ref="A18:B18"/>
    <mergeCell ref="A32:B32"/>
    <mergeCell ref="A37:B37"/>
    <mergeCell ref="A40:B40"/>
    <mergeCell ref="A45:J45"/>
    <mergeCell ref="A46:J46"/>
    <mergeCell ref="A48:E48"/>
  </mergeCells>
  <dataValidations count="5">
    <dataValidation type="list" sqref="B10">
      <formula1>"Windows,Linux"</formula1>
    </dataValidation>
    <dataValidation type="list" sqref="B13">
      <formula1>"Yes,No"</formula1>
    </dataValidation>
    <dataValidation type="list" sqref="B15">
      <formula1>"Standard,ErGw1AZ,ErGw2AZ,HighPerf,ErGw3AZ,Ultra"</formula1>
    </dataValidation>
    <dataValidation type="list" sqref="B5">
      <formula1>"Hot,Cool,Cold"</formula1>
    </dataValidation>
    <dataValidation type="list" sqref="B6">
      <formula1>"LRS,ZRS,GRS"</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workbookViewId="0">
      <pane ySplit="2" topLeftCell="A3" activePane="bottomLeft" state="frozen"/>
      <selection pane="bottomLeft"/>
    </sheetView>
  </sheetViews>
  <sheetFormatPr defaultRowHeight="15" outlineLevelRow="0" outlineLevelCol="0" x14ac:dyDescent="55"/>
  <cols>
    <col min="1" max="1" width="40" customWidth="1"/>
    <col min="2" max="2" width="16" customWidth="1"/>
    <col min="3" max="3" width="44" customWidth="1"/>
    <col min="4" max="11" width="14" customWidth="1"/>
  </cols>
  <sheetData>
    <row r="1" ht="22" customHeight="1" spans="1:11" x14ac:dyDescent="0.25">
      <c r="A1" s="42" t="s">
        <v>372</v>
      </c>
      <c r="B1" s="42"/>
      <c r="C1" s="42"/>
      <c r="D1" s="42"/>
      <c r="E1" s="42"/>
      <c r="F1" s="42"/>
      <c r="G1" s="42"/>
      <c r="H1" s="42"/>
      <c r="I1" s="42"/>
      <c r="J1" s="42"/>
      <c r="K1" s="42"/>
    </row>
    <row r="2" ht="26" customHeight="1" spans="1:11" x14ac:dyDescent="0.25">
      <c r="A2" s="20" t="s">
        <v>373</v>
      </c>
      <c r="B2" s="20"/>
      <c r="C2" s="20"/>
      <c r="D2" s="20"/>
      <c r="E2" s="20"/>
      <c r="F2" s="20"/>
      <c r="G2" s="20"/>
      <c r="H2" s="20"/>
      <c r="I2" s="20"/>
      <c r="J2" s="20"/>
      <c r="K2" s="20"/>
    </row>
    <row r="3" ht="28" customHeight="1" spans="1:11" x14ac:dyDescent="0.25">
      <c r="A3" s="12" t="s">
        <v>287</v>
      </c>
      <c r="E3" s="44" t="s">
        <v>374</v>
      </c>
      <c r="F3" s="44"/>
      <c r="G3" s="44"/>
      <c r="H3" s="44"/>
      <c r="I3" s="44"/>
      <c r="J3" s="44"/>
      <c r="K3" s="44"/>
    </row>
    <row r="4" spans="1:11" x14ac:dyDescent="0.25">
      <c r="A4" s="13" t="s">
        <v>375</v>
      </c>
      <c r="B4" s="45">
        <f>Calculator!O35</f>
      </c>
      <c r="C4" s="15" t="s">
        <v>376</v>
      </c>
      <c r="E4" s="46" t="s">
        <v>377</v>
      </c>
      <c r="F4" s="46" t="s">
        <v>378</v>
      </c>
      <c r="G4" s="46" t="s">
        <v>379</v>
      </c>
      <c r="H4" s="46" t="s">
        <v>380</v>
      </c>
      <c r="I4" s="46" t="s">
        <v>325</v>
      </c>
      <c r="J4" s="46" t="s">
        <v>306</v>
      </c>
      <c r="K4" s="46" t="s">
        <v>381</v>
      </c>
    </row>
    <row r="5" spans="1:11" x14ac:dyDescent="0.25">
      <c r="A5" s="13" t="s">
        <v>382</v>
      </c>
      <c r="B5" s="49">
        <v>65</v>
      </c>
      <c r="C5" s="15" t="s">
        <v>383</v>
      </c>
      <c r="E5" s="47" t="s">
        <v>384</v>
      </c>
      <c r="F5" s="65">
        <v>65</v>
      </c>
      <c r="G5" s="47" t="s">
        <v>330</v>
      </c>
      <c r="H5" s="66">
        <v>76.8341</v>
      </c>
      <c r="I5" s="47" t="s">
        <v>330</v>
      </c>
      <c r="J5" s="51">
        <v>0.19</v>
      </c>
      <c r="K5" s="54">
        <v>1000</v>
      </c>
    </row>
    <row r="6" spans="1:11" x14ac:dyDescent="0.25">
      <c r="A6" s="13" t="s">
        <v>385</v>
      </c>
      <c r="B6" s="14" t="s">
        <v>386</v>
      </c>
      <c r="E6" s="47" t="s">
        <v>387</v>
      </c>
      <c r="F6" s="54">
        <v>2250</v>
      </c>
      <c r="G6" s="47" t="s">
        <v>388</v>
      </c>
      <c r="H6" s="66">
        <v>123.9408</v>
      </c>
      <c r="I6" s="47" t="s">
        <v>333</v>
      </c>
      <c r="J6" s="51">
        <v>0.361</v>
      </c>
      <c r="K6" s="54">
        <v>1000</v>
      </c>
    </row>
    <row r="7" spans="1:11" x14ac:dyDescent="0.25">
      <c r="A7" s="13" t="s">
        <v>389</v>
      </c>
      <c r="B7" s="16">
        <v>2</v>
      </c>
      <c r="E7" s="47" t="s">
        <v>390</v>
      </c>
      <c r="F7" s="65">
        <v>18</v>
      </c>
      <c r="I7" s="47" t="s">
        <v>335</v>
      </c>
      <c r="J7" s="51">
        <v>0.632</v>
      </c>
      <c r="K7" s="54">
        <v>2000</v>
      </c>
    </row>
    <row r="8" spans="1:11" x14ac:dyDescent="0.25">
      <c r="A8" s="13" t="s">
        <v>391</v>
      </c>
      <c r="B8" s="14" t="s">
        <v>330</v>
      </c>
      <c r="E8" s="47" t="s">
        <v>319</v>
      </c>
      <c r="F8" s="53">
        <v>730</v>
      </c>
      <c r="G8" s="46" t="s">
        <v>290</v>
      </c>
      <c r="H8" s="46" t="s">
        <v>392</v>
      </c>
      <c r="I8" s="47" t="s">
        <v>338</v>
      </c>
      <c r="J8" s="51">
        <v>0.49</v>
      </c>
      <c r="K8" s="54">
        <v>2000</v>
      </c>
    </row>
    <row r="9" spans="1:11" x14ac:dyDescent="0.25">
      <c r="A9" s="13" t="s">
        <v>393</v>
      </c>
      <c r="B9" s="17">
        <v>50</v>
      </c>
      <c r="C9" s="15" t="s">
        <v>394</v>
      </c>
      <c r="G9" s="47" t="s">
        <v>297</v>
      </c>
      <c r="H9" s="65">
        <v>18.4</v>
      </c>
      <c r="I9" s="47" t="s">
        <v>329</v>
      </c>
      <c r="J9" s="51">
        <v>2.151</v>
      </c>
      <c r="K9" s="54">
        <v>10000</v>
      </c>
    </row>
    <row r="10" spans="1:11" x14ac:dyDescent="0.25">
      <c r="A10" s="13" t="s">
        <v>395</v>
      </c>
      <c r="B10" s="14" t="s">
        <v>137</v>
      </c>
      <c r="E10" s="46" t="s">
        <v>396</v>
      </c>
      <c r="F10" s="46" t="s">
        <v>306</v>
      </c>
      <c r="G10" s="47" t="s">
        <v>137</v>
      </c>
      <c r="H10" s="65">
        <v>10.5</v>
      </c>
      <c r="I10" s="47" t="s">
        <v>341</v>
      </c>
      <c r="J10" s="51">
        <v>1.87</v>
      </c>
      <c r="K10" s="54">
        <v>10000</v>
      </c>
    </row>
    <row r="11" spans="1:6" x14ac:dyDescent="0.25">
      <c r="A11" s="13" t="s">
        <v>397</v>
      </c>
      <c r="B11" s="14" t="s">
        <v>323</v>
      </c>
      <c r="E11" s="47" t="s">
        <v>386</v>
      </c>
      <c r="F11" s="51">
        <v>2.704</v>
      </c>
    </row>
    <row r="12" spans="1:10" x14ac:dyDescent="0.25">
      <c r="A12" s="13" t="s">
        <v>324</v>
      </c>
      <c r="B12" s="16">
        <v>2</v>
      </c>
      <c r="E12" s="47" t="s">
        <v>398</v>
      </c>
      <c r="F12" s="51">
        <v>5.408</v>
      </c>
      <c r="I12" s="47" t="s">
        <v>399</v>
      </c>
      <c r="J12" s="54">
        <v>6000</v>
      </c>
    </row>
    <row r="13" spans="1:2" x14ac:dyDescent="0.25">
      <c r="A13" s="13" t="s">
        <v>325</v>
      </c>
      <c r="B13" s="14" t="s">
        <v>329</v>
      </c>
    </row>
    <row r="15" spans="1:2" x14ac:dyDescent="0.25">
      <c r="A15" s="55" t="s">
        <v>337</v>
      </c>
      <c r="B15" s="55"/>
    </row>
    <row r="16" spans="1:2" x14ac:dyDescent="0.25">
      <c r="A16" s="56" t="s">
        <v>339</v>
      </c>
      <c r="B16" s="57">
        <f>Calculator!M35</f>
      </c>
    </row>
    <row r="17" spans="1:2" x14ac:dyDescent="0.25">
      <c r="A17" s="56" t="s">
        <v>340</v>
      </c>
      <c r="B17" s="57">
        <f>Calculator!L35</f>
      </c>
    </row>
    <row r="18" spans="1:2" x14ac:dyDescent="0.25">
      <c r="A18" s="56" t="s">
        <v>342</v>
      </c>
      <c r="B18" s="58">
        <f>Calculator!H15</f>
      </c>
    </row>
    <row r="19" spans="1:2" x14ac:dyDescent="0.25">
      <c r="A19" s="13" t="s">
        <v>400</v>
      </c>
      <c r="B19" s="59">
        <f>$B$4</f>
      </c>
    </row>
    <row r="20" spans="1:2" x14ac:dyDescent="0.25">
      <c r="A20" s="56" t="s">
        <v>401</v>
      </c>
      <c r="B20" s="57">
        <f>(1-$B$9/100)*$B$4*((1+Calculator!$B$5/100)/(Calculator!$B$6/100))</f>
      </c>
    </row>
    <row r="21" spans="1:2" x14ac:dyDescent="0.25">
      <c r="A21" s="56" t="s">
        <v>402</v>
      </c>
      <c r="B21" s="57">
        <f>($B$9/100)*($B$16+MAX($B$18,IF($B$10="Hot",0,IF($B$10="Cold",90,30)))*$B$17)</f>
      </c>
    </row>
    <row r="22" spans="1:2" x14ac:dyDescent="0.25">
      <c r="A22" s="56" t="s">
        <v>403</v>
      </c>
      <c r="B22" s="57">
        <f>$B$4</f>
      </c>
    </row>
    <row r="23" spans="1:2" x14ac:dyDescent="0.25">
      <c r="A23" s="56" t="s">
        <v>404</v>
      </c>
      <c r="B23" s="57">
        <f>1.5*$B$4</f>
      </c>
    </row>
    <row r="24" spans="1:2" x14ac:dyDescent="0.25">
      <c r="A24" s="56" t="s">
        <v>405</v>
      </c>
      <c r="B24" s="58">
        <f>IF($B$4&gt;0,CEILING(1.5*$B$4/$F$6,1),0)</f>
      </c>
    </row>
    <row r="25" spans="1:2" x14ac:dyDescent="0.25">
      <c r="A25" s="56" t="s">
        <v>406</v>
      </c>
      <c r="B25" s="57">
        <f>$B$4*$B$5</f>
      </c>
    </row>
    <row r="26" spans="1:2" x14ac:dyDescent="0.25">
      <c r="A26" s="56" t="s">
        <v>407</v>
      </c>
      <c r="B26" s="57">
        <f>$B$4*$B$5*12</f>
      </c>
    </row>
    <row r="27" spans="1:2" x14ac:dyDescent="0.25">
      <c r="A27" s="56" t="s">
        <v>408</v>
      </c>
      <c r="B27" s="57">
        <f>(1-$B$9/100)*$B$4*((1+Calculator!$B$5/100)/(Calculator!$B$6/100))*IF($B$8="Premium",H6,H5)</f>
      </c>
    </row>
    <row r="28" spans="1:2" x14ac:dyDescent="0.25">
      <c r="A28" s="56" t="s">
        <v>409</v>
      </c>
      <c r="B28" s="57">
        <f>(1-$B$9/100)*$B$4*((1+Calculator!$B$5/100)/(Calculator!$B$6/100))*IF($B$8="Premium",H6,H5)*12</f>
      </c>
    </row>
    <row r="29" spans="1:2" x14ac:dyDescent="0.25">
      <c r="A29" s="56" t="s">
        <v>410</v>
      </c>
      <c r="B29" s="57">
        <f>($B$9/100)*($B$16+MAX($B$18,IF($B$10="Hot",0,IF($B$10="Cold",90,30)))*$B$17)*IF($B$10="Hot",H9,H10)</f>
      </c>
    </row>
    <row r="30" spans="1:2" x14ac:dyDescent="0.25">
      <c r="A30" s="56" t="s">
        <v>411</v>
      </c>
      <c r="B30" s="57">
        <f>($B$9/100)*($B$16+MAX($B$18,IF($B$10="Hot",0,IF($B$10="Cold",90,30)))*$B$17)*IF($B$10="Hot",H9,H10)*12</f>
      </c>
    </row>
    <row r="31" spans="1:2" x14ac:dyDescent="0.25">
      <c r="A31" s="56" t="s">
        <v>412</v>
      </c>
      <c r="B31" s="57">
        <f>$B$7*IF($B$6="E64ds_v5",F12,F11)*$F$8</f>
      </c>
    </row>
    <row r="32" spans="1:2" x14ac:dyDescent="0.25">
      <c r="A32" s="56" t="s">
        <v>413</v>
      </c>
      <c r="B32" s="57">
        <f>IF($B$4&gt;0,CEILING(1.5*$B$4/$F$6,1),0)*($B$7*IF($B$6="E64ds_v5",F12,F11)*$F$8+$F$7)</f>
      </c>
    </row>
    <row r="33" spans="1:2" x14ac:dyDescent="0.25">
      <c r="A33" s="13" t="s">
        <v>414</v>
      </c>
      <c r="B33" s="59">
        <f>$B$4*$B$5+(1-$B$9/100)*$B$4*((1+Calculator!$B$5/100)/(Calculator!$B$6/100))*IF($B$8="Premium",H6,H5)+($B$9/100)*($B$16+MAX($B$18,IF($B$10="Hot",0,IF($B$10="Cold",90,30)))*$B$17)*IF($B$10="Hot",H9,H10)+IF($B$4&gt;0,CEILING(1.5*$B$4/$F$6,1),0)*($B$7*IF($B$6="E64ds_v5",F12,F11)*$F$8+$F$7)</f>
      </c>
    </row>
    <row r="34" spans="1:2" x14ac:dyDescent="0.25">
      <c r="A34" s="13" t="s">
        <v>415</v>
      </c>
      <c r="B34" s="59">
        <f>($B$4*$B$5+(1-$B$9/100)*$B$4*((1+Calculator!$B$5/100)/(Calculator!$B$6/100))*IF($B$8="Premium",H6,H5)+($B$9/100)*($B$16+MAX($B$18,IF($B$10="Hot",0,IF($B$10="Cold",90,30)))*$B$17)*IF($B$10="Hot",H9,H10)+IF($B$4&gt;0,CEILING(1.5*$B$4/$F$6,1),0)*($B$7*IF($B$6="E64ds_v5",F12,F11)*$F$8+$F$7))*12</f>
      </c>
    </row>
    <row r="35" ht="30" customHeight="1" spans="1:2" x14ac:dyDescent="0.25">
      <c r="A35" s="13" t="s">
        <v>416</v>
      </c>
      <c r="B35" s="60">
        <f>IF($B$18&lt;IF($B$10="Hot",0,IF($B$10="Cold",90,30)),"WARNING: lock "&amp;$B$18&amp;"d is below the "&amp;IF($B$10="Hot",0,IF($B$10="Cold",90,30))&amp;"-day "&amp;$B$10&amp;" Blob minimum billing duration - the Blob-tiered share is billed on "&amp;IF($B$10="Hot",0,IF($B$10="Cold",90,30))&amp;" days.","OK: lock "&amp;$B$18&amp;"d meets the "&amp;$B$10&amp;" Blob tier minimum")</f>
      </c>
    </row>
    <row r="36" spans="1:2" x14ac:dyDescent="0.25">
      <c r="A36" s="55" t="s">
        <v>417</v>
      </c>
      <c r="B36" s="55"/>
    </row>
    <row r="37" spans="1:2" x14ac:dyDescent="0.25">
      <c r="A37" s="13" t="s">
        <v>418</v>
      </c>
      <c r="B37" s="59">
        <f>IF(AND($B$11="Yes",$B$4&gt;0),$B$12*$J$12+IF($B$13="Standard",J5,IF($B$13="ErGw1AZ",J6,IF($B$13="ErGw2AZ",J7,IF($B$13="HighPerf",J8,IF($B$13="Ultra",J10,J9)))))*$F$8,0)</f>
      </c>
    </row>
    <row r="38" spans="1:2" x14ac:dyDescent="0.25">
      <c r="A38" s="13" t="s">
        <v>419</v>
      </c>
      <c r="B38" s="59">
        <f>IF(AND($B$11="Yes",$B$4&gt;0),$B$12*$J$12+IF($B$13="Standard",J5,IF($B$13="ErGw1AZ",J6,IF($B$13="ErGw2AZ",J7,IF($B$13="HighPerf",J8,IF($B$13="Ultra",J10,J9)))))*$F$8,0)*12</f>
      </c>
    </row>
    <row r="39" spans="1:2" x14ac:dyDescent="0.25">
      <c r="A39" s="55" t="s">
        <v>420</v>
      </c>
      <c r="B39" s="55"/>
    </row>
    <row r="40" spans="1:2" x14ac:dyDescent="0.25">
      <c r="A40" s="13" t="s">
        <v>359</v>
      </c>
      <c r="B40" s="59">
        <f>$B$4*$B$5+(1-$B$9/100)*$B$4*((1+Calculator!$B$5/100)/(Calculator!$B$6/100))*IF($B$8="Premium",H6,H5)+($B$9/100)*($B$16+MAX($B$18,IF($B$10="Hot",0,IF($B$10="Cold",90,30)))*$B$17)*IF($B$10="Hot",H9,H10)+IF($B$4&gt;0,CEILING(1.5*$B$4/$F$6,1),0)*($B$7*IF($B$6="E64ds_v5",F12,F11)*$F$8+$F$7)+IF(AND($B$11="Yes",$B$4&gt;0),$B$12*$J$12+IF($B$13="Standard",J5,IF($B$13="ErGw1AZ",J6,IF($B$13="ErGw2AZ",J7,IF($B$13="HighPerf",J8,IF($B$13="Ultra",J10,J9)))))*$F$8,0)</f>
      </c>
    </row>
    <row r="41" spans="1:2" x14ac:dyDescent="0.25">
      <c r="A41" s="13" t="s">
        <v>360</v>
      </c>
      <c r="B41" s="59">
        <f>($B$4*$B$5+(1-$B$9/100)*$B$4*((1+Calculator!$B$5/100)/(Calculator!$B$6/100))*IF($B$8="Premium",H6,H5)+($B$9/100)*($B$16+MAX($B$18,IF($B$10="Hot",0,IF($B$10="Cold",90,30)))*$B$17)*IF($B$10="Hot",H9,H10)+IF($B$4&gt;0,CEILING(1.5*$B$4/$F$6,1),0)*($B$7*IF($B$6="E64ds_v5",F12,F11)*$F$8+$F$7)+IF(AND($B$11="Yes",$B$4&gt;0),$B$12*$J$12+IF($B$13="Standard",J5,IF($B$13="ErGw1AZ",J6,IF($B$13="ErGw2AZ",J7,IF($B$13="HighPerf",J8,IF($B$13="Ultra",J10,J9)))))*$F$8,0))*12</f>
      </c>
    </row>
    <row r="42" spans="1:2" x14ac:dyDescent="0.25">
      <c r="A42" s="55" t="s">
        <v>361</v>
      </c>
      <c r="B42" s="55"/>
    </row>
    <row r="43" spans="1:2" x14ac:dyDescent="0.25">
      <c r="A43" s="56" t="s">
        <v>362</v>
      </c>
      <c r="B43" s="61">
        <f>IF($B$13="Standard",K5,IF($B$13="ErGw1AZ",K6,IF($B$13="ErGw2AZ",K7,IF($B$13="HighPerf",K8,IF($B$13="Ultra",K10,K9)))))</f>
      </c>
    </row>
    <row r="44" spans="1:2" x14ac:dyDescent="0.25">
      <c r="A44" s="56" t="s">
        <v>363</v>
      </c>
      <c r="B44" s="57">
        <f>IF($B$13="Standard",K5,IF($B$13="ErGw1AZ",K6,IF($B$13="ErGw2AZ",K7,IF($B$13="HighPerf",K8,IF($B$13="Ultra",K10,K9)))))/8</f>
      </c>
    </row>
    <row r="45" spans="1:2" x14ac:dyDescent="0.25">
      <c r="A45" s="56" t="s">
        <v>364</v>
      </c>
      <c r="B45" s="57">
        <f>IF(IF($B$13="Standard",K5,IF($B$13="ErGw1AZ",K6,IF($B$13="ErGw2AZ",K7,IF($B$13="HighPerf",K8,IF($B$13="Ultra",K10,K9)))))&gt;0,$B$4*92.5926/(IF($B$13="Standard",K5,IF($B$13="ErGw1AZ",K6,IF($B$13="ErGw2AZ",K7,IF($B$13="HighPerf",K8,IF($B$13="Ultra",K10,K9)))))),0)</f>
      </c>
    </row>
    <row r="46" ht="40" customHeight="1" spans="1:11" x14ac:dyDescent="0.25">
      <c r="A46" s="36" t="s">
        <v>421</v>
      </c>
      <c r="B46" s="36"/>
      <c r="C46" s="36"/>
      <c r="D46" s="36"/>
      <c r="E46" s="36"/>
      <c r="F46" s="36"/>
      <c r="G46" s="36"/>
      <c r="H46" s="36"/>
      <c r="I46" s="36"/>
      <c r="J46" s="36"/>
      <c r="K46" s="36"/>
    </row>
  </sheetData>
  <mergeCells count="8">
    <mergeCell ref="A1:K1"/>
    <mergeCell ref="A2:K2"/>
    <mergeCell ref="E3:K3"/>
    <mergeCell ref="A15:B15"/>
    <mergeCell ref="A36:B36"/>
    <mergeCell ref="A39:B39"/>
    <mergeCell ref="A42:B42"/>
    <mergeCell ref="A46:K46"/>
  </mergeCells>
  <dataValidations count="5">
    <dataValidation type="list" sqref="B10">
      <formula1>"Hot,Cool"</formula1>
    </dataValidation>
    <dataValidation type="list" sqref="B11">
      <formula1>"Yes,No"</formula1>
    </dataValidation>
    <dataValidation type="list" sqref="B13">
      <formula1>"Standard,ErGw1AZ,ErGw2AZ,HighPerf,ErGw3AZ,Ultra"</formula1>
    </dataValidation>
    <dataValidation type="list" sqref="B6">
      <formula1>"E32ds_v5,E64ds_v5"</formula1>
    </dataValidation>
    <dataValidation type="list" sqref="B8">
      <formula1>"Standard,Premium"</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Calculator</vt:lpstr>
      <vt:lpstr>Formulas and Definitions</vt:lpstr>
      <vt:lpstr>Azure Cost (Option C)</vt:lpstr>
      <vt:lpstr>CVO Cost (Option 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Immutable Storage Sizing Calculator</dc:title>
  <dc:subject/>
  <dc:description/>
  <cp:keywords/>
  <cp:category/>
  <cp:lastModifiedBy/>
  <dcterms:created xsi:type="dcterms:W3CDTF">2026-09-04T11:00:38Z</dcterms:created>
  <dcterms:modified xsi:type="dcterms:W3CDTF">2026-09-04T11:00:38Z</dcterms:modified>
</cp:coreProperties>
</file>